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1'!$A$1:$N$48</definedName>
    <definedName name="_xlnm.Print_Area" localSheetId="7">'Table 10'!$A$1:$G$46</definedName>
    <definedName name="_xlnm.Print_Area" localSheetId="2">'Table 2'!$A$1:$J$38</definedName>
    <definedName name="_xlnm.Print_Area" localSheetId="3">'Table 3'!$A$1:$M$39</definedName>
    <definedName name="_xlnm.Print_Area" localSheetId="5">'Table 8'!$A$1:$G$44</definedName>
    <definedName name="_xlnm.Print_Area" localSheetId="6">'Table 9'!$A$1:$I$46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<sst xmlns="http://schemas.openxmlformats.org/spreadsheetml/2006/main" count="556" uniqueCount="211">
  <si>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</si>
  <si>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</si>
  <si>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</si>
  <si>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</si>
  <si>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</si>
  <si>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</si>
  <si>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</si>
  <si>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</si>
  <si>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</si>
  <si>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</si>
  <si>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</si>
  <si>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</si>
  <si>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</si>
  <si>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</si>
  <si>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</si>
  <si>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</si>
  <si>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</si>
  <si>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</si>
  <si>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</si>
  <si>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</si>
  <si>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</si>
  <si>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</si>
  <si>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</si>
  <si>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</si>
  <si>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</si>
  <si>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</si>
  <si>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</si>
  <si>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</si>
  <si>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</si>
  <si>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</si>
  <si>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</si>
  <si>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</si>
  <si>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</si>
  <si>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</si>
  <si>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</si>
  <si>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</si>
  <si>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</si>
  <si>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</si>
  <si>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</si>
  <si>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</si>
  <si>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</si>
  <si>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</si>
  <si>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</si>
  <si>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</si>
  <si>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</si>
  <si>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</si>
  <si>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</si>
  <si>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</si>
  <si>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</si>
  <si>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</si>
  <si>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</si>
  <si>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</si>
  <si>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</si>
  <si>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</si>
  <si>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</si>
  <si>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</si>
  <si>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</si>
  <si>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</si>
  <si>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</si>
  <si>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</si>
  <si>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</si>
  <si>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</si>
  <si>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</si>
  <si>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</si>
  <si>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</si>
  <si>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</si>
  <si>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</si>
  <si>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</si>
  <si>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</si>
  <si>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</si>
  <si>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</si>
  <si>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</si>
  <si>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</si>
  <si>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</si>
  <si>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</si>
  <si>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</si>
  <si>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</si>
  <si>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</si>
  <si>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</si>
  <si>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</si>
  <si>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</si>
  <si>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</si>
  <si>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</si>
  <si>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</si>
  <si>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</si>
  <si>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</si>
  <si>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</si>
  <si>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</si>
  <si>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</si>
  <si>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</si>
  <si>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</si>
  <si>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</si>
  <si>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</si>
  <si>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</si>
  <si>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</si>
  <si>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</si>
  <si>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</si>
  <si>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</si>
  <si>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</si>
  <si>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</si>
  <si>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</si>
  <si>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</si>
  <si>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</si>
  <si>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</si>
  <si>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</si>
  <si>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</si>
  <si>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</si>
  <si>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</si>
  <si>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</si>
  <si>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</si>
  <si>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</si>
  <si>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</si>
  <si>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</si>
  <si>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</si>
  <si>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</si>
  <si>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</si>
  <si>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</si>
  <si>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</si>
  <si>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</si>
  <si>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</si>
  <si>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</si>
  <si>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</si>
  <si>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</si>
  <si>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</si>
  <si>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</si>
  <si>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</si>
  <si>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</si>
  <si>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</si>
  <si>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</si>
  <si>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</si>
  <si>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</si>
  <si>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</si>
  <si>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</si>
  <si>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</si>
  <si>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</si>
  <si>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</si>
  <si>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</si>
  <si>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</si>
  <si>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</si>
  <si>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</si>
  <si>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</si>
  <si>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</si>
  <si>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</si>
  <si>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</si>
  <si>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</si>
  <si>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</si>
  <si>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</si>
  <si>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</si>
  <si>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</si>
  <si>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</si>
  <si>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</si>
  <si>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</si>
  <si>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</si>
  <si>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</si>
  <si>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</si>
  <si>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</si>
  <si>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</si>
  <si>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</si>
  <si>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</si>
  <si>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</si>
  <si>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</si>
  <si>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</si>
  <si>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</si>
  <si>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</si>
  <si>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</si>
  <si>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</si>
  <si>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</si>
  <si>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</si>
  <si>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</si>
  <si>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</si>
  <si>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</si>
  <si>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</si>
  <si>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</si>
  <si>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28.0-32.0</t>
  </si>
  <si>
    <t>30.0-34.0</t>
  </si>
  <si>
    <t>51.5-55.5</t>
  </si>
  <si>
    <t>35.0-39.0</t>
  </si>
  <si>
    <t>57.0-61.0</t>
  </si>
  <si>
    <t>31.0-35.0</t>
  </si>
  <si>
    <t>215-255</t>
  </si>
  <si>
    <t>15.00-19.00</t>
  </si>
  <si>
    <t>14.70-18.70</t>
  </si>
  <si>
    <t>Percent</t>
  </si>
  <si>
    <t>Argentina</t>
  </si>
  <si>
    <t>Turkey</t>
  </si>
  <si>
    <t>Brazil</t>
  </si>
  <si>
    <t>exchange rate</t>
  </si>
  <si>
    <t xml:space="preserve">US Dollar </t>
  </si>
  <si>
    <t>soybean meal</t>
  </si>
  <si>
    <t>Million short tons</t>
  </si>
  <si>
    <t>Domestic use</t>
  </si>
  <si>
    <t>7.35-9.85</t>
  </si>
  <si>
    <t>115-155</t>
  </si>
  <si>
    <t>290-330</t>
  </si>
  <si>
    <t>137.5-177.5</t>
  </si>
  <si>
    <t>240-280</t>
  </si>
  <si>
    <t>185-225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</si>
  <si>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</si>
  <si>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</si>
  <si>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</si>
  <si>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</si>
  <si>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</si>
  <si>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</si>
  <si>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</si>
  <si>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</si>
  <si>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</si>
  <si>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</si>
  <si>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</si>
  <si>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1,000 short tons</t>
  </si>
  <si>
    <t>Soybean meal</t>
  </si>
  <si>
    <t>exports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</si>
</sst>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2" applyFont="1" applyBorder="1" applyAlignment="1">
      <alignment vertical="top" wrapText="1"/>
      <protection/>
    </xf>
    <xf numFmtId="0" fontId="0" fillId="0" borderId="0" xfId="62" applyFo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56" applyFont="1" applyAlignment="1" applyProtection="1">
      <alignment/>
      <protection/>
    </xf>
    <xf numFmtId="0" fontId="1" fillId="0" borderId="0" xfId="62" applyFont="1">
      <alignment/>
      <protection/>
    </xf>
    <xf numFmtId="0" fontId="9" fillId="0" borderId="0" xfId="61" applyFont="1" applyAlignment="1">
      <alignment horizontal="left"/>
      <protection/>
    </xf>
    <xf numFmtId="0" fontId="0" fillId="0" borderId="0" xfId="62" applyFont="1" applyFill="1">
      <alignment/>
      <protection/>
    </xf>
    <xf numFmtId="0" fontId="0" fillId="0" borderId="0" xfId="62" applyFont="1" quotePrefix="1">
      <alignment/>
      <protection/>
    </xf>
    <xf numFmtId="0" fontId="11" fillId="0" borderId="0" xfId="62" applyFont="1" applyFill="1">
      <alignment/>
      <protection/>
    </xf>
    <xf numFmtId="0" fontId="0" fillId="0" borderId="0" xfId="62" applyFont="1" applyBorder="1" applyAlignment="1">
      <alignment wrapText="1"/>
      <protection/>
    </xf>
    <xf numFmtId="0" fontId="12" fillId="0" borderId="0" xfId="62" applyFont="1">
      <alignment/>
      <protection/>
    </xf>
    <xf numFmtId="0" fontId="6" fillId="0" borderId="0" xfId="61" applyAlignment="1" quotePrefix="1">
      <alignment horizontal="left"/>
      <protection/>
    </xf>
    <xf numFmtId="0" fontId="2" fillId="0" borderId="0" xfId="55" applyAlignment="1" applyProtection="1">
      <alignment/>
      <protection/>
    </xf>
    <xf numFmtId="14" fontId="9" fillId="0" borderId="0" xfId="61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13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64">
      <alignment/>
      <protection/>
    </xf>
    <xf numFmtId="0" fontId="4" fillId="0" borderId="0" xfId="64" applyFont="1">
      <alignment/>
      <protection/>
    </xf>
    <xf numFmtId="2" fontId="4" fillId="0" borderId="0" xfId="64" applyNumberFormat="1" applyFont="1" quotePrefix="1">
      <alignment/>
      <protection/>
    </xf>
    <xf numFmtId="2" fontId="0" fillId="0" borderId="0" xfId="64" applyNumberFormat="1" applyFont="1">
      <alignment/>
      <protection/>
    </xf>
    <xf numFmtId="0" fontId="0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67" fontId="0" fillId="0" borderId="0" xfId="64" applyNumberFormat="1" applyBorder="1" applyAlignment="1">
      <alignment wrapText="1"/>
      <protection/>
    </xf>
    <xf numFmtId="1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72" fontId="0" fillId="0" borderId="0" xfId="68" applyNumberFormat="1" applyFont="1" applyAlignment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meal exports maintain a torrid pace</a:t>
            </a:r>
          </a:p>
        </c:rich>
      </c:tx>
      <c:layout>
        <c:manualLayout>
          <c:xMode val="factor"/>
          <c:yMode val="factor"/>
          <c:x val="-0.245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05"/>
          <c:w val="0.863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Cover!$B$4:$B$15</c:f>
              <c:numCache/>
            </c:numRef>
          </c:val>
        </c:ser>
        <c:ser>
          <c:idx val="1"/>
          <c:order val="1"/>
          <c:tx>
            <c:strRef>
              <c:f>Cover!$C$1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Cover!$C$4:$C$15</c:f>
              <c:numCache/>
            </c:numRef>
          </c:val>
        </c:ser>
        <c:ser>
          <c:idx val="2"/>
          <c:order val="2"/>
          <c:tx>
            <c:strRef>
              <c:f>Cover!$D$1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Cover!$D$4:$D$15</c:f>
              <c:numCache/>
            </c:numRef>
          </c:val>
        </c:ser>
        <c:ser>
          <c:idx val="3"/>
          <c:order val="3"/>
          <c:tx>
            <c:strRef>
              <c:f>Cover!$E$1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Cover!$E$4:$E$15</c:f>
              <c:numCache/>
            </c:numRef>
          </c:val>
        </c:ser>
        <c:axId val="42297972"/>
        <c:axId val="45137429"/>
      </c:barChart>
      <c:catAx>
        <c:axId val="42297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Foreign Agricultural Service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Global Agricultural Trade System.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37429"/>
        <c:crosses val="autoZero"/>
        <c:auto val="1"/>
        <c:lblOffset val="100"/>
        <c:tickLblSkip val="1"/>
        <c:noMultiLvlLbl val="0"/>
      </c:catAx>
      <c:valAx>
        <c:axId val="45137429"/>
        <c:scaling>
          <c:orientation val="minMax"/>
          <c:max val="1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short tons</a:t>
                </a:r>
              </a:p>
            </c:rich>
          </c:tx>
          <c:layout>
            <c:manualLayout>
              <c:xMode val="factor"/>
              <c:yMode val="factor"/>
              <c:x val="0.061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797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75"/>
          <c:y val="0.1895"/>
          <c:w val="0.08525"/>
          <c:h val="0.2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Surge in U.S. soybean meal exports leads a strong 2017/18 crush rate </a:t>
            </a:r>
          </a:p>
        </c:rich>
      </c:tx>
      <c:layout>
        <c:manualLayout>
          <c:xMode val="factor"/>
          <c:yMode val="factor"/>
          <c:x val="-0.1427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575"/>
          <c:w val="0.8015"/>
          <c:h val="0.7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1'!$C$2</c:f>
              <c:strCache>
                <c:ptCount val="1"/>
                <c:pt idx="0">
                  <c:v>Domestic use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'Oil Crops Chart Gallery Fig 1'!$A$4:$A$12</c:f>
              <c:numCache/>
            </c:numRef>
          </c:cat>
          <c:val>
            <c:numRef>
              <c:f>'Oil Crops Chart Gallery Fig 1'!$C$4:$C$12</c:f>
              <c:numCache/>
            </c:numRef>
          </c:val>
        </c:ser>
        <c:ser>
          <c:idx val="1"/>
          <c:order val="1"/>
          <c:tx>
            <c:strRef>
              <c:f>'Oil Crops Chart Gallery Fig 1'!$B$2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'Oil Crops Chart Gallery Fig 1'!$A$4:$A$12</c:f>
              <c:numCache/>
            </c:numRef>
          </c:cat>
          <c:val>
            <c:numRef>
              <c:f>'Oil Crops Chart Gallery Fig 1'!$B$4:$B$12</c:f>
              <c:numCache/>
            </c:numRef>
          </c:val>
        </c:ser>
        <c:overlap val="100"/>
        <c:axId val="3583678"/>
        <c:axId val="32253103"/>
      </c:barChart>
      <c:catAx>
        <c:axId val="358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USDA, Economic research Service,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Oil Crops Yearbook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and World Agricultural Outlook Board,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Agricultural Supply and Demand Estimates.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3103"/>
        <c:crosses val="autoZero"/>
        <c:auto val="1"/>
        <c:lblOffset val="100"/>
        <c:tickLblSkip val="1"/>
        <c:noMultiLvlLbl val="0"/>
      </c:catAx>
      <c:valAx>
        <c:axId val="32253103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71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367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9975"/>
          <c:y val="0.194"/>
          <c:w val="0.137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Loss of value for emerging market currencies impels market responses and policy shifts</a:t>
            </a:r>
          </a:p>
        </c:rich>
      </c:tx>
      <c:layout>
        <c:manualLayout>
          <c:xMode val="factor"/>
          <c:yMode val="factor"/>
          <c:x val="-0.066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475"/>
          <c:w val="0.80125"/>
          <c:h val="0.768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2'!$A$5:$A$178</c:f>
              <c:strCache/>
            </c:strRef>
          </c:cat>
          <c:val>
            <c:numRef>
              <c:f>'Oil Crops Chart Gallery Fig 2'!$B$5:$B$178</c:f>
              <c:numCache/>
            </c:numRef>
          </c:val>
          <c:smooth val="0"/>
        </c:ser>
        <c:ser>
          <c:idx val="2"/>
          <c:order val="1"/>
          <c:tx>
            <c:strRef>
              <c:f>'Oil Crops Chart Gallery Fig 2'!$C$2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2'!$A$5:$A$178</c:f>
              <c:strCache/>
            </c:strRef>
          </c:cat>
          <c:val>
            <c:numRef>
              <c:f>'Oil Crops Chart Gallery Fig 2'!$C$5:$C$178</c:f>
              <c:numCache/>
            </c:numRef>
          </c:val>
          <c:smooth val="0"/>
        </c:ser>
        <c:ser>
          <c:idx val="3"/>
          <c:order val="2"/>
          <c:tx>
            <c:strRef>
              <c:f>'Oil Crops Chart Gallery Fig 2'!$D$2</c:f>
              <c:strCache>
                <c:ptCount val="1"/>
                <c:pt idx="0">
                  <c:v>Brazil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2'!$A$5:$A$178</c:f>
              <c:strCache/>
            </c:strRef>
          </c:cat>
          <c:val>
            <c:numRef>
              <c:f>'Oil Crops Chart Gallery Fig 2'!$D$5:$D$178</c:f>
              <c:numCache/>
            </c:numRef>
          </c:val>
          <c:smooth val="0"/>
        </c:ser>
        <c:marker val="1"/>
        <c:axId val="21842472"/>
        <c:axId val="62364521"/>
      </c:lineChart>
      <c:catAx>
        <c:axId val="21842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Pacific Exchange Rate Service, University of British Columbia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4521"/>
        <c:crosses val="autoZero"/>
        <c:auto val="0"/>
        <c:lblOffset val="100"/>
        <c:tickLblSkip val="30"/>
        <c:tickMarkSkip val="30"/>
        <c:noMultiLvlLbl val="0"/>
      </c:catAx>
      <c:valAx>
        <c:axId val="62364521"/>
        <c:scaling>
          <c:orientation val="minMax"/>
          <c:max val="1.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change vs US $</a:t>
                </a:r>
              </a:p>
            </c:rich>
          </c:tx>
          <c:layout>
            <c:manualLayout>
              <c:xMode val="factor"/>
              <c:yMode val="factor"/>
              <c:x val="0.103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2472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38"/>
          <c:y val="0.609"/>
          <c:w val="0.1705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19050</xdr:rowOff>
    </xdr:from>
    <xdr:to>
      <xdr:col>16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943350" y="19050"/>
        <a:ext cx="64484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85725</xdr:rowOff>
    </xdr:from>
    <xdr:to>
      <xdr:col>14</xdr:col>
      <xdr:colOff>180975</xdr:colOff>
      <xdr:row>26</xdr:row>
      <xdr:rowOff>38100</xdr:rowOff>
    </xdr:to>
    <xdr:graphicFrame>
      <xdr:nvGraphicFramePr>
        <xdr:cNvPr id="1" name="Chart 4"/>
        <xdr:cNvGraphicFramePr/>
      </xdr:nvGraphicFramePr>
      <xdr:xfrm>
        <a:off x="2371725" y="85725"/>
        <a:ext cx="69627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161925</xdr:rowOff>
    </xdr:from>
    <xdr:to>
      <xdr:col>15</xdr:col>
      <xdr:colOff>314325</xdr:colOff>
      <xdr:row>26</xdr:row>
      <xdr:rowOff>104775</xdr:rowOff>
    </xdr:to>
    <xdr:graphicFrame>
      <xdr:nvGraphicFramePr>
        <xdr:cNvPr id="1" name="Chart 4"/>
        <xdr:cNvGraphicFramePr/>
      </xdr:nvGraphicFramePr>
      <xdr:xfrm>
        <a:off x="3057525" y="161925"/>
        <a:ext cx="69532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18" sqref="A18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43357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B14" sqref="B14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2.75">
      <c r="A1" s="22" t="s">
        <v>188</v>
      </c>
      <c r="B1" s="141"/>
      <c r="C1" s="141"/>
      <c r="D1" s="141"/>
      <c r="F1" s="10"/>
      <c r="G1" s="22"/>
    </row>
    <row r="2" spans="2:4" ht="12.75">
      <c r="B2" s="10" t="s">
        <v>4</v>
      </c>
      <c r="C2" s="10" t="s">
        <v>190</v>
      </c>
      <c r="D2" s="10"/>
    </row>
    <row r="3" spans="2:4" ht="12.75">
      <c r="B3" s="10" t="s">
        <v>189</v>
      </c>
      <c r="D3" s="10"/>
    </row>
    <row r="4" spans="1:7" ht="12.75">
      <c r="A4" s="139">
        <v>2010</v>
      </c>
      <c r="B4" s="25">
        <v>9.080945183573109</v>
      </c>
      <c r="C4" s="25">
        <v>30.301193532282486</v>
      </c>
      <c r="D4" s="25"/>
      <c r="F4" s="23"/>
      <c r="G4" s="25"/>
    </row>
    <row r="5" spans="1:7" ht="12.75">
      <c r="A5" s="139">
        <v>2011</v>
      </c>
      <c r="B5" s="25">
        <v>9.749681125802352</v>
      </c>
      <c r="C5" s="25">
        <v>31.55185590975759</v>
      </c>
      <c r="D5" s="25"/>
      <c r="F5" s="23"/>
      <c r="G5" s="25"/>
    </row>
    <row r="6" spans="1:7" ht="12.75">
      <c r="A6" s="139">
        <v>2012</v>
      </c>
      <c r="B6" s="25">
        <v>11.145604045320361</v>
      </c>
      <c r="C6" s="25">
        <v>28.999424034753996</v>
      </c>
      <c r="D6" s="25"/>
      <c r="F6" s="23"/>
      <c r="G6" s="25"/>
    </row>
    <row r="7" spans="1:7" ht="12.75">
      <c r="A7" s="139">
        <v>2013</v>
      </c>
      <c r="B7" s="25">
        <v>11.578133910540204</v>
      </c>
      <c r="C7" s="25">
        <v>29.513167892878638</v>
      </c>
      <c r="D7" s="25"/>
      <c r="F7" s="23"/>
      <c r="G7" s="25"/>
    </row>
    <row r="8" spans="1:7" ht="12.75">
      <c r="A8" s="139">
        <v>2014</v>
      </c>
      <c r="B8" s="25">
        <v>13.107295774207596</v>
      </c>
      <c r="C8" s="25">
        <v>32.27748603329577</v>
      </c>
      <c r="D8" s="25"/>
      <c r="F8" s="23"/>
      <c r="G8" s="25"/>
    </row>
    <row r="9" spans="1:7" ht="12.75">
      <c r="A9" s="139">
        <v>2015</v>
      </c>
      <c r="B9" s="25">
        <v>11.953549118622888</v>
      </c>
      <c r="C9" s="25">
        <v>33.11810821263775</v>
      </c>
      <c r="D9" s="25"/>
      <c r="E9" s="25"/>
      <c r="F9" s="23"/>
      <c r="G9" s="25"/>
    </row>
    <row r="10" spans="1:7" ht="12.75">
      <c r="A10" s="139">
        <v>2016</v>
      </c>
      <c r="B10" s="25">
        <v>11.58028787694051</v>
      </c>
      <c r="C10" s="25">
        <v>33.4195382224142</v>
      </c>
      <c r="D10" s="25"/>
      <c r="E10" s="25"/>
      <c r="F10" s="23"/>
      <c r="G10" s="25"/>
    </row>
    <row r="11" spans="1:6" ht="12.75">
      <c r="A11" s="139">
        <v>2017</v>
      </c>
      <c r="B11" s="25">
        <v>14.4</v>
      </c>
      <c r="C11" s="25">
        <v>34.69963</v>
      </c>
      <c r="D11" s="25"/>
      <c r="E11" s="25"/>
      <c r="F11" s="23"/>
    </row>
    <row r="12" spans="1:6" ht="12.75">
      <c r="A12" s="139">
        <v>2018</v>
      </c>
      <c r="B12" s="25">
        <v>13.5</v>
      </c>
      <c r="C12" s="25">
        <v>35.55</v>
      </c>
      <c r="D12" s="25"/>
      <c r="E12" s="25"/>
      <c r="F12" s="23"/>
    </row>
    <row r="13" spans="1:6" ht="12.75">
      <c r="A13" s="139"/>
      <c r="B13" s="25"/>
      <c r="C13" s="25"/>
      <c r="D13" s="25"/>
      <c r="E13" s="25"/>
      <c r="F13" s="23"/>
    </row>
    <row r="14" spans="1:6" ht="12.75">
      <c r="A14" s="139"/>
      <c r="B14" s="25"/>
      <c r="C14" s="25"/>
      <c r="D14" s="25"/>
      <c r="E14" s="25"/>
      <c r="F14" s="23"/>
    </row>
    <row r="15" spans="1:5" ht="12.75">
      <c r="A15" s="139"/>
      <c r="B15" s="25"/>
      <c r="C15" s="25"/>
      <c r="D15" s="25"/>
      <c r="E15" s="25"/>
    </row>
    <row r="16" spans="1:9" ht="12.75">
      <c r="A16" s="141"/>
      <c r="B16" s="25"/>
      <c r="C16" s="25"/>
      <c r="D16" s="25"/>
      <c r="G16" s="21"/>
      <c r="H16" s="21"/>
      <c r="I16" s="21"/>
    </row>
    <row r="17" spans="1:8" ht="12.75">
      <c r="A17" s="141"/>
      <c r="B17" s="25"/>
      <c r="C17" s="25"/>
      <c r="D17" s="25"/>
      <c r="G17" s="13"/>
      <c r="H17" s="13"/>
    </row>
    <row r="18" spans="1:8" ht="12.75">
      <c r="A18" s="141"/>
      <c r="B18" s="25"/>
      <c r="C18" s="25"/>
      <c r="D18" s="25"/>
      <c r="E18" s="23"/>
      <c r="F18" s="23"/>
      <c r="G18" s="13"/>
      <c r="H18" s="13"/>
    </row>
    <row r="19" spans="1:8" ht="12.75">
      <c r="A19" s="141"/>
      <c r="B19" s="25"/>
      <c r="C19" s="25"/>
      <c r="D19" s="9"/>
      <c r="E19" s="9"/>
      <c r="F19" s="23"/>
      <c r="G19" s="13"/>
      <c r="H19" s="13"/>
    </row>
    <row r="20" spans="1:8" ht="12.75">
      <c r="A20" s="141"/>
      <c r="B20" s="25"/>
      <c r="C20" s="25"/>
      <c r="D20" s="9"/>
      <c r="E20" s="9"/>
      <c r="F20" s="23"/>
      <c r="G20" s="13"/>
      <c r="H20" s="13"/>
    </row>
    <row r="21" spans="1:8" ht="12.75">
      <c r="A21" s="141"/>
      <c r="B21" s="25"/>
      <c r="C21" s="25"/>
      <c r="D21" s="9"/>
      <c r="E21" s="9"/>
      <c r="F21" s="23"/>
      <c r="G21" s="13"/>
      <c r="H21" s="13"/>
    </row>
    <row r="22" spans="1:8" ht="12.75">
      <c r="A22" s="140"/>
      <c r="B22" s="25"/>
      <c r="C22" s="25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5"/>
  <sheetViews>
    <sheetView zoomScale="110" zoomScaleNormal="110" zoomScalePageLayoutView="0" workbookViewId="0" topLeftCell="A1">
      <selection activeCell="A4" sqref="A4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187</v>
      </c>
    </row>
    <row r="2" spans="1:7" ht="12.75">
      <c r="A2" s="22" t="s">
        <v>186</v>
      </c>
      <c r="B2" s="22" t="s">
        <v>183</v>
      </c>
      <c r="C2" s="149" t="s">
        <v>184</v>
      </c>
      <c r="D2" s="149" t="s">
        <v>185</v>
      </c>
      <c r="F2" s="10"/>
      <c r="G2" s="22"/>
    </row>
    <row r="3" spans="1:4" ht="12.75">
      <c r="A3" s="10"/>
      <c r="B3" s="10"/>
      <c r="C3" s="10"/>
      <c r="D3" s="10"/>
    </row>
    <row r="4" spans="2:4" ht="12.75">
      <c r="B4" s="10" t="s">
        <v>182</v>
      </c>
      <c r="C4" s="10"/>
      <c r="D4" s="10"/>
    </row>
    <row r="5" spans="1:7" ht="12.75">
      <c r="A5" s="150">
        <v>43102</v>
      </c>
      <c r="B5" s="151">
        <v>1</v>
      </c>
      <c r="C5" s="151">
        <v>1</v>
      </c>
      <c r="D5" s="151">
        <v>1</v>
      </c>
      <c r="F5" s="23"/>
      <c r="G5" s="25"/>
    </row>
    <row r="6" spans="1:7" ht="12.75">
      <c r="A6" s="150">
        <v>43103</v>
      </c>
      <c r="B6" s="151">
        <v>0.9975604467093135</v>
      </c>
      <c r="C6" s="151">
        <v>0.9987004376077443</v>
      </c>
      <c r="D6" s="151">
        <v>1.0052357633434967</v>
      </c>
      <c r="F6" s="23"/>
      <c r="G6" s="25"/>
    </row>
    <row r="7" spans="1:4" ht="12.75">
      <c r="A7" s="150">
        <v>43104</v>
      </c>
      <c r="B7" s="151">
        <v>0.9877079978529254</v>
      </c>
      <c r="C7" s="151">
        <v>1.0037584966013595</v>
      </c>
      <c r="D7" s="151">
        <v>1.0100888187416828</v>
      </c>
    </row>
    <row r="8" spans="1:4" ht="12.75">
      <c r="A8" s="150">
        <v>43105</v>
      </c>
      <c r="B8" s="151">
        <v>0.9744743949584282</v>
      </c>
      <c r="C8" s="151">
        <v>1.0073566785265242</v>
      </c>
      <c r="D8" s="151">
        <v>1.0091831055593345</v>
      </c>
    </row>
    <row r="9" spans="1:4" ht="12.75">
      <c r="A9" s="150">
        <v>43108</v>
      </c>
      <c r="B9" s="151">
        <v>0.9675061780324938</v>
      </c>
      <c r="C9" s="151">
        <v>1.0046154256596325</v>
      </c>
      <c r="D9" s="151">
        <v>1.0089647284305543</v>
      </c>
    </row>
    <row r="10" spans="1:4" ht="12.75">
      <c r="A10" s="150">
        <v>43109</v>
      </c>
      <c r="B10" s="151">
        <v>0.9675061780324938</v>
      </c>
      <c r="C10" s="151">
        <v>0.998991881997135</v>
      </c>
      <c r="D10" s="151">
        <v>1.0053286515123514</v>
      </c>
    </row>
    <row r="11" spans="1:4" ht="12.75">
      <c r="A11" s="150">
        <v>43110</v>
      </c>
      <c r="B11" s="151">
        <v>0.987601975096608</v>
      </c>
      <c r="C11" s="151">
        <v>0.9911299449898665</v>
      </c>
      <c r="D11" s="151">
        <v>1.0079676353417126</v>
      </c>
    </row>
    <row r="12" spans="1:4" ht="12.75">
      <c r="A12" s="150">
        <v>43111</v>
      </c>
      <c r="B12" s="151">
        <v>0.9837476610531946</v>
      </c>
      <c r="C12" s="151">
        <v>0.9961377704883341</v>
      </c>
      <c r="D12" s="151">
        <v>1.0123759305210918</v>
      </c>
    </row>
    <row r="13" spans="1:4" ht="12.75">
      <c r="A13" s="150">
        <v>43112</v>
      </c>
      <c r="B13" s="151">
        <v>0.9847479396339506</v>
      </c>
      <c r="C13" s="151">
        <v>1.003437524982013</v>
      </c>
      <c r="D13" s="151">
        <v>1.0161897942028084</v>
      </c>
    </row>
    <row r="14" spans="1:4" ht="12.75">
      <c r="A14" s="150">
        <v>43115</v>
      </c>
      <c r="B14" s="151">
        <v>0.982172404590339</v>
      </c>
      <c r="C14" s="151">
        <v>0.9918609245357567</v>
      </c>
      <c r="D14" s="151">
        <v>1.0186953807740324</v>
      </c>
    </row>
    <row r="15" spans="1:4" ht="12.75">
      <c r="A15" s="150">
        <v>43116</v>
      </c>
      <c r="B15" s="151">
        <v>0.9739586090086274</v>
      </c>
      <c r="C15" s="151">
        <v>0.9921222500329336</v>
      </c>
      <c r="D15" s="151">
        <v>1.0118423907988965</v>
      </c>
    </row>
    <row r="16" spans="1:4" ht="12.75">
      <c r="A16" s="150">
        <v>43117</v>
      </c>
      <c r="B16" s="151">
        <v>0.9758179986212017</v>
      </c>
      <c r="C16" s="151">
        <v>0.9886059333158309</v>
      </c>
      <c r="D16" s="151">
        <v>1.0124073327336456</v>
      </c>
    </row>
    <row r="17" spans="1:9" ht="12.75">
      <c r="A17" s="150">
        <v>43118</v>
      </c>
      <c r="B17" s="151">
        <v>0.9749907274943039</v>
      </c>
      <c r="C17" s="151">
        <v>0.9987269255251432</v>
      </c>
      <c r="D17" s="151">
        <v>1.0167279297240048</v>
      </c>
      <c r="H17" s="21"/>
      <c r="I17" s="21"/>
    </row>
    <row r="18" spans="1:8" ht="12.75">
      <c r="A18" s="150">
        <v>43119</v>
      </c>
      <c r="B18" s="151">
        <v>0.9689326523089886</v>
      </c>
      <c r="C18" s="151">
        <v>0.9892292334366626</v>
      </c>
      <c r="D18" s="151">
        <v>1.018790773168524</v>
      </c>
      <c r="H18" s="13"/>
    </row>
    <row r="19" spans="1:8" ht="12.75">
      <c r="A19" s="150">
        <v>43122</v>
      </c>
      <c r="B19" s="151">
        <v>0.9610884780110729</v>
      </c>
      <c r="C19" s="151">
        <v>0.9950585313003726</v>
      </c>
      <c r="D19" s="151">
        <v>1.0191406981827267</v>
      </c>
      <c r="H19" s="13"/>
    </row>
    <row r="20" spans="1:8" ht="12.75">
      <c r="A20" s="150">
        <v>43123</v>
      </c>
      <c r="B20" s="151">
        <v>0.9513985833204074</v>
      </c>
      <c r="C20" s="151">
        <v>0.997800683642916</v>
      </c>
      <c r="D20" s="151">
        <v>1.0092455163883736</v>
      </c>
      <c r="H20" s="13"/>
    </row>
    <row r="21" spans="1:8" ht="12.75">
      <c r="A21" s="150">
        <v>43124</v>
      </c>
      <c r="B21" s="151">
        <v>0.935818542440116</v>
      </c>
      <c r="C21" s="151">
        <v>1.0069256892264085</v>
      </c>
      <c r="D21" s="151">
        <v>1.026964948713108</v>
      </c>
      <c r="H21" s="13"/>
    </row>
    <row r="22" spans="1:8" ht="12.75">
      <c r="A22" s="150">
        <v>43125</v>
      </c>
      <c r="B22" s="151">
        <v>0.939785495403473</v>
      </c>
      <c r="C22" s="151">
        <v>1.007168075318284</v>
      </c>
      <c r="D22" s="151">
        <v>1.03668530047008</v>
      </c>
      <c r="H22" s="13"/>
    </row>
    <row r="23" spans="1:8" ht="12.75">
      <c r="A23" s="150">
        <v>43126</v>
      </c>
      <c r="B23" s="151">
        <v>0.940217669000051</v>
      </c>
      <c r="C23" s="151">
        <v>1.0036782344474653</v>
      </c>
      <c r="D23" s="151">
        <v>1.0371135330939594</v>
      </c>
      <c r="H23" s="13"/>
    </row>
    <row r="24" spans="1:8" ht="12.75">
      <c r="A24" s="150">
        <v>43129</v>
      </c>
      <c r="B24" s="151">
        <v>0.9394496349619645</v>
      </c>
      <c r="C24" s="151">
        <v>0.9949007899812412</v>
      </c>
      <c r="D24" s="151">
        <v>1.0311502859128678</v>
      </c>
      <c r="H24" s="13"/>
    </row>
    <row r="25" spans="1:8" ht="12.75">
      <c r="A25" s="150">
        <v>43130</v>
      </c>
      <c r="B25" s="151">
        <v>0.9373917473255222</v>
      </c>
      <c r="C25" s="151">
        <v>0.9963749900775275</v>
      </c>
      <c r="D25" s="151">
        <v>1.026706511481598</v>
      </c>
      <c r="H25" s="13"/>
    </row>
    <row r="26" spans="1:8" ht="12.75">
      <c r="A26" s="150">
        <v>43131</v>
      </c>
      <c r="B26" s="151">
        <v>0.9370098788063956</v>
      </c>
      <c r="C26" s="151">
        <v>1.00290302820465</v>
      </c>
      <c r="D26" s="151">
        <v>1.02751456005037</v>
      </c>
      <c r="H26" s="13"/>
    </row>
    <row r="27" spans="1:8" ht="12.75">
      <c r="A27" s="150">
        <v>43132</v>
      </c>
      <c r="B27" s="151">
        <v>0.9500722841800909</v>
      </c>
      <c r="C27" s="151">
        <v>1.0072758399315216</v>
      </c>
      <c r="D27" s="151">
        <v>1.0297838775832149</v>
      </c>
      <c r="H27" s="13"/>
    </row>
    <row r="28" spans="1:8" ht="12.75">
      <c r="A28" s="150">
        <v>43133</v>
      </c>
      <c r="B28" s="151">
        <v>0.9444159310203243</v>
      </c>
      <c r="C28" s="151">
        <v>1.000717531690983</v>
      </c>
      <c r="D28" s="151">
        <v>1.0152731118576583</v>
      </c>
      <c r="H28" s="13"/>
    </row>
    <row r="29" spans="1:8" ht="12.75">
      <c r="A29" s="150">
        <v>43136</v>
      </c>
      <c r="B29" s="151">
        <v>0.9453377857693295</v>
      </c>
      <c r="C29" s="151">
        <v>0.9993895804028771</v>
      </c>
      <c r="D29" s="151">
        <v>1.0063825851011348</v>
      </c>
      <c r="H29" s="13"/>
    </row>
    <row r="30" spans="1:4" ht="12.75">
      <c r="A30" s="150">
        <v>43137</v>
      </c>
      <c r="B30" s="151">
        <v>0.939977523498161</v>
      </c>
      <c r="C30" s="151">
        <v>0.9977478074242867</v>
      </c>
      <c r="D30" s="151">
        <v>1.0041842291480785</v>
      </c>
    </row>
    <row r="31" spans="1:4" ht="12.75">
      <c r="A31" s="150">
        <v>43138</v>
      </c>
      <c r="B31" s="151">
        <v>0.934725185410952</v>
      </c>
      <c r="C31" s="151">
        <v>0.9934833654328153</v>
      </c>
      <c r="D31" s="151">
        <v>1.0008279161045015</v>
      </c>
    </row>
    <row r="32" spans="1:4" ht="12.75">
      <c r="A32" s="150">
        <v>43139</v>
      </c>
      <c r="B32" s="151">
        <v>0.9218476028255097</v>
      </c>
      <c r="C32" s="151">
        <v>0.9856043553368581</v>
      </c>
      <c r="D32" s="151">
        <v>0.9951218024939785</v>
      </c>
    </row>
    <row r="33" spans="1:4" ht="12.75">
      <c r="A33" s="150">
        <v>43140</v>
      </c>
      <c r="B33" s="151">
        <v>0.9201880282042306</v>
      </c>
      <c r="C33" s="151">
        <v>0.9837247577000444</v>
      </c>
      <c r="D33" s="151">
        <v>0.9903811142128899</v>
      </c>
    </row>
    <row r="34" spans="1:4" ht="12.75">
      <c r="A34" s="150">
        <v>43143</v>
      </c>
      <c r="B34" s="151">
        <v>0.9201880282042306</v>
      </c>
      <c r="C34" s="151">
        <v>0.9904781945394286</v>
      </c>
      <c r="D34" s="151">
        <v>0.9905915202282314</v>
      </c>
    </row>
    <row r="35" spans="1:4" ht="12.75">
      <c r="A35" s="150">
        <v>43144</v>
      </c>
      <c r="B35" s="151">
        <v>0.9201880282042306</v>
      </c>
      <c r="C35" s="151">
        <v>0.9895151754040206</v>
      </c>
      <c r="D35" s="151">
        <v>0.9903210146246738</v>
      </c>
    </row>
    <row r="36" spans="1:4" ht="12.75">
      <c r="A36" s="150">
        <v>43145</v>
      </c>
      <c r="B36" s="151">
        <v>0.924626903170695</v>
      </c>
      <c r="C36" s="151">
        <v>0.9928023412164835</v>
      </c>
      <c r="D36" s="151">
        <v>1.0029191248770895</v>
      </c>
    </row>
    <row r="37" spans="1:4" ht="12.75">
      <c r="A37" s="150">
        <v>43146</v>
      </c>
      <c r="B37" s="151">
        <v>0.924626903170695</v>
      </c>
      <c r="C37" s="151">
        <v>0.998991881997135</v>
      </c>
      <c r="D37" s="151">
        <v>1.0104640723197422</v>
      </c>
    </row>
    <row r="38" spans="1:4" ht="12.75">
      <c r="A38" s="150">
        <v>43147</v>
      </c>
      <c r="B38" s="151">
        <v>0.924626903170695</v>
      </c>
      <c r="C38" s="151">
        <v>1.0050712646132494</v>
      </c>
      <c r="D38" s="151">
        <v>1.0109335315616677</v>
      </c>
    </row>
    <row r="39" spans="1:4" ht="12.75">
      <c r="A39" s="150">
        <v>43151</v>
      </c>
      <c r="B39" s="151">
        <v>0.9263491743858234</v>
      </c>
      <c r="C39" s="151">
        <v>0.9922791114390366</v>
      </c>
      <c r="D39" s="151">
        <v>1.0040915523288008</v>
      </c>
    </row>
    <row r="40" spans="1:4" ht="12.75">
      <c r="A40" s="150">
        <v>43152</v>
      </c>
      <c r="B40" s="151">
        <v>0.9241161108879068</v>
      </c>
      <c r="C40" s="151">
        <v>0.9943753465895588</v>
      </c>
      <c r="D40" s="151">
        <v>1.0022723783202825</v>
      </c>
    </row>
    <row r="41" spans="1:4" ht="12.75">
      <c r="A41" s="150">
        <v>43153</v>
      </c>
      <c r="B41" s="151">
        <v>0.9221709932845544</v>
      </c>
      <c r="C41" s="151">
        <v>0.9946642717523376</v>
      </c>
      <c r="D41" s="151">
        <v>1.0031348925838277</v>
      </c>
    </row>
    <row r="42" spans="1:4" ht="12.75">
      <c r="A42" s="150">
        <v>43154</v>
      </c>
      <c r="B42" s="151">
        <v>0.9212015018773465</v>
      </c>
      <c r="C42" s="151">
        <v>0.9940078663252645</v>
      </c>
      <c r="D42" s="151">
        <v>1.0071589471410498</v>
      </c>
    </row>
    <row r="43" spans="1:4" ht="12.75">
      <c r="A43" s="150">
        <v>43157</v>
      </c>
      <c r="B43" s="151">
        <v>0.9120241871530532</v>
      </c>
      <c r="C43" s="151">
        <v>0.9946905460020604</v>
      </c>
      <c r="D43" s="151">
        <v>1.0088088026210051</v>
      </c>
    </row>
    <row r="44" spans="1:4" ht="12.75">
      <c r="A44" s="150">
        <v>43158</v>
      </c>
      <c r="B44" s="151">
        <v>0.9097246255005684</v>
      </c>
      <c r="C44" s="151">
        <v>0.9904781945394286</v>
      </c>
      <c r="D44" s="151">
        <v>1.006568802812558</v>
      </c>
    </row>
    <row r="45" spans="1:4" ht="12.75">
      <c r="A45" s="150">
        <v>43159</v>
      </c>
      <c r="B45" s="151">
        <v>0.9147444820043745</v>
      </c>
      <c r="C45" s="151">
        <v>0.9907127259333315</v>
      </c>
      <c r="D45" s="151">
        <v>1.006258478234061</v>
      </c>
    </row>
    <row r="46" spans="1:4" ht="12.75">
      <c r="A46" s="150">
        <v>43160</v>
      </c>
      <c r="B46" s="151">
        <v>0.9129291526096449</v>
      </c>
      <c r="C46" s="151">
        <v>0.9877760872986727</v>
      </c>
      <c r="D46" s="151">
        <v>1.0024570779200834</v>
      </c>
    </row>
    <row r="47" spans="1:4" ht="12.75">
      <c r="A47" s="150">
        <v>43161</v>
      </c>
      <c r="B47" s="151">
        <v>0.9072129369422669</v>
      </c>
      <c r="C47" s="151">
        <v>0.9873357980020453</v>
      </c>
      <c r="D47" s="151">
        <v>1.0023955038235928</v>
      </c>
    </row>
    <row r="48" spans="1:4" ht="12.75">
      <c r="A48" s="150">
        <v>43164</v>
      </c>
      <c r="B48" s="151">
        <v>0.9104898565066799</v>
      </c>
      <c r="C48" s="151">
        <v>0.9871804954777823</v>
      </c>
      <c r="D48" s="151">
        <v>1.0032890692241485</v>
      </c>
    </row>
    <row r="49" spans="1:4" ht="12.75">
      <c r="A49" s="150">
        <v>43165</v>
      </c>
      <c r="B49" s="151">
        <v>0.9054719023718139</v>
      </c>
      <c r="C49" s="151">
        <v>0.9926453143534995</v>
      </c>
      <c r="D49" s="151">
        <v>1.01397993103234</v>
      </c>
    </row>
    <row r="50" spans="1:4" ht="12.75">
      <c r="A50" s="150">
        <v>43166</v>
      </c>
      <c r="B50" s="151">
        <v>0.9019213802568374</v>
      </c>
      <c r="C50" s="151">
        <v>0.9914953000342296</v>
      </c>
      <c r="D50" s="151">
        <v>1.0084036209719778</v>
      </c>
    </row>
    <row r="51" spans="1:4" ht="12.75">
      <c r="A51" s="150">
        <v>43167</v>
      </c>
      <c r="B51" s="151">
        <v>0.9037375374490447</v>
      </c>
      <c r="C51" s="151">
        <v>0.9854495969852403</v>
      </c>
      <c r="D51" s="151">
        <v>1.001872429246731</v>
      </c>
    </row>
    <row r="52" spans="1:4" ht="12.75">
      <c r="A52" s="150">
        <v>43168</v>
      </c>
      <c r="B52" s="151">
        <v>0.9089157816744875</v>
      </c>
      <c r="C52" s="151">
        <v>0.9874393601678249</v>
      </c>
      <c r="D52" s="151">
        <v>1.0040915523288008</v>
      </c>
    </row>
    <row r="53" spans="1:4" ht="12.75">
      <c r="A53" s="150">
        <v>43171</v>
      </c>
      <c r="B53" s="151">
        <v>0.9109856923610078</v>
      </c>
      <c r="C53" s="151">
        <v>0.9802931299299718</v>
      </c>
      <c r="D53" s="151">
        <v>1.0010427848489496</v>
      </c>
    </row>
    <row r="54" spans="1:4" ht="12.75">
      <c r="A54" s="150">
        <v>43172</v>
      </c>
      <c r="B54" s="151">
        <v>0.9103997625173165</v>
      </c>
      <c r="C54" s="151">
        <v>0.97377812257564</v>
      </c>
      <c r="D54" s="151">
        <v>1.0030424093423478</v>
      </c>
    </row>
    <row r="55" spans="1:4" ht="12.75">
      <c r="A55" s="150">
        <v>43173</v>
      </c>
      <c r="B55" s="151">
        <v>0.9094099041217752</v>
      </c>
      <c r="C55" s="151">
        <v>0.9707906880816728</v>
      </c>
      <c r="D55" s="151">
        <v>1.0013191802675174</v>
      </c>
    </row>
    <row r="56" spans="1:4" ht="12.75">
      <c r="A56" s="150">
        <v>43174</v>
      </c>
      <c r="B56" s="151">
        <v>0.9056055908263202</v>
      </c>
      <c r="C56" s="151">
        <v>0.9662569603038157</v>
      </c>
      <c r="D56" s="151">
        <v>0.9930327370086406</v>
      </c>
    </row>
    <row r="57" spans="1:4" ht="12.75">
      <c r="A57" s="150">
        <v>43175</v>
      </c>
      <c r="B57" s="151">
        <v>0.9113015055467512</v>
      </c>
      <c r="C57" s="151">
        <v>0.9612498085464848</v>
      </c>
      <c r="D57" s="151">
        <v>0.9930327370086406</v>
      </c>
    </row>
    <row r="58" spans="1:4" ht="12.75">
      <c r="A58" s="150">
        <v>43178</v>
      </c>
      <c r="B58" s="151">
        <v>0.9106250309298757</v>
      </c>
      <c r="C58" s="151">
        <v>0.955299609315541</v>
      </c>
      <c r="D58" s="151">
        <v>0.992217662258702</v>
      </c>
    </row>
    <row r="59" spans="1:4" ht="12.75">
      <c r="A59" s="150">
        <v>43179</v>
      </c>
      <c r="B59" s="151">
        <v>0.908422195892575</v>
      </c>
      <c r="C59" s="151">
        <v>0.9577536434621157</v>
      </c>
      <c r="D59" s="151">
        <v>0.98939040286156</v>
      </c>
    </row>
    <row r="60" spans="1:4" ht="12.75">
      <c r="A60" s="150">
        <v>43180</v>
      </c>
      <c r="B60" s="151">
        <v>0.9079291459022055</v>
      </c>
      <c r="C60" s="151">
        <v>0.9592663354986626</v>
      </c>
      <c r="D60" s="151">
        <v>0.993183823753157</v>
      </c>
    </row>
    <row r="61" spans="1:4" ht="12.75">
      <c r="A61" s="150">
        <v>43181</v>
      </c>
      <c r="B61" s="151">
        <v>0.909814585908529</v>
      </c>
      <c r="C61" s="151">
        <v>0.9577292842972683</v>
      </c>
      <c r="D61" s="151">
        <v>0.9889407344564295</v>
      </c>
    </row>
    <row r="62" spans="1:4" ht="12.75">
      <c r="A62" s="150">
        <v>43182</v>
      </c>
      <c r="B62" s="151">
        <v>0.911527220488433</v>
      </c>
      <c r="C62" s="151">
        <v>0.9493029470340585</v>
      </c>
      <c r="D62" s="151">
        <v>0.9870864331942176</v>
      </c>
    </row>
    <row r="63" spans="1:4" ht="12.75">
      <c r="A63" s="150">
        <v>43185</v>
      </c>
      <c r="B63" s="151">
        <v>0.9114369210956461</v>
      </c>
      <c r="C63" s="151">
        <v>0.947106315551196</v>
      </c>
      <c r="D63" s="151">
        <v>0.9880725335270789</v>
      </c>
    </row>
    <row r="64" spans="1:4" ht="12.75">
      <c r="A64" s="150">
        <v>43186</v>
      </c>
      <c r="B64" s="151">
        <v>0.912702742919498</v>
      </c>
      <c r="C64" s="151">
        <v>0.9454180266131056</v>
      </c>
      <c r="D64" s="151">
        <v>0.9807686529042338</v>
      </c>
    </row>
    <row r="65" spans="1:4" ht="12.75">
      <c r="A65" s="150">
        <v>43187</v>
      </c>
      <c r="B65" s="151">
        <v>0.9136544190665342</v>
      </c>
      <c r="C65" s="151">
        <v>0.9403890817371328</v>
      </c>
      <c r="D65" s="151">
        <v>0.978269991607721</v>
      </c>
    </row>
    <row r="66" spans="1:4" ht="12.75">
      <c r="A66" s="150">
        <v>43188</v>
      </c>
      <c r="B66" s="151">
        <v>0.9136544190665342</v>
      </c>
      <c r="C66" s="151">
        <v>0.9520631067961165</v>
      </c>
      <c r="D66" s="151">
        <v>0.9852093332125931</v>
      </c>
    </row>
    <row r="67" spans="1:4" ht="12.75">
      <c r="A67" s="150">
        <v>43192</v>
      </c>
      <c r="B67" s="151">
        <v>0.9136544190665342</v>
      </c>
      <c r="C67" s="151">
        <v>0.9481078631316565</v>
      </c>
      <c r="D67" s="151">
        <v>0.9853877969990641</v>
      </c>
    </row>
    <row r="68" spans="1:4" ht="12.75">
      <c r="A68" s="150">
        <v>43193</v>
      </c>
      <c r="B68" s="151">
        <v>0.9120693928128872</v>
      </c>
      <c r="C68" s="151">
        <v>0.9443274149864581</v>
      </c>
      <c r="D68" s="151">
        <v>0.9825696911313144</v>
      </c>
    </row>
    <row r="69" spans="1:4" ht="12.75">
      <c r="A69" s="150">
        <v>43194</v>
      </c>
      <c r="B69" s="151">
        <v>0.9119337892754484</v>
      </c>
      <c r="C69" s="151">
        <v>0.9410235905637745</v>
      </c>
      <c r="D69" s="151">
        <v>0.9749096448519967</v>
      </c>
    </row>
    <row r="70" spans="1:4" ht="12.75">
      <c r="A70" s="150">
        <v>43195</v>
      </c>
      <c r="B70" s="151">
        <v>0.9111661302302551</v>
      </c>
      <c r="C70" s="151">
        <v>0.931963865858186</v>
      </c>
      <c r="D70" s="151">
        <v>0.9810044783745603</v>
      </c>
    </row>
    <row r="71" spans="1:4" ht="12.75">
      <c r="A71" s="150">
        <v>43196</v>
      </c>
      <c r="B71" s="151">
        <v>0.9116627031311929</v>
      </c>
      <c r="C71" s="151">
        <v>0.9310651765404014</v>
      </c>
      <c r="D71" s="151">
        <v>0.9696672608437313</v>
      </c>
    </row>
    <row r="72" spans="1:4" ht="12.75">
      <c r="A72" s="150">
        <v>43199</v>
      </c>
      <c r="B72" s="151">
        <v>0.9113466395918974</v>
      </c>
      <c r="C72" s="151">
        <v>0.9274191562199839</v>
      </c>
      <c r="D72" s="151">
        <v>0.9620644933089667</v>
      </c>
    </row>
    <row r="73" spans="1:4" ht="12.75">
      <c r="A73" s="150">
        <v>43200</v>
      </c>
      <c r="B73" s="151">
        <v>0.9128838616857667</v>
      </c>
      <c r="C73" s="151">
        <v>0.9155806263372885</v>
      </c>
      <c r="D73" s="151">
        <v>0.9557820141146155</v>
      </c>
    </row>
    <row r="74" spans="1:4" ht="12.75">
      <c r="A74" s="150">
        <v>43201</v>
      </c>
      <c r="B74" s="151">
        <v>0.9125216960079345</v>
      </c>
      <c r="C74" s="151">
        <v>0.9093894899536322</v>
      </c>
      <c r="D74" s="151">
        <v>0.9609598115707345</v>
      </c>
    </row>
    <row r="75" spans="1:4" ht="12.75">
      <c r="A75" s="150">
        <v>43202</v>
      </c>
      <c r="B75" s="151">
        <v>0.9105349101885298</v>
      </c>
      <c r="C75" s="151">
        <v>0.918371826451723</v>
      </c>
      <c r="D75" s="151">
        <v>0.96288757117149</v>
      </c>
    </row>
    <row r="76" spans="1:4" ht="12.75">
      <c r="A76" s="150">
        <v>43203</v>
      </c>
      <c r="B76" s="151">
        <v>0.9102196280174119</v>
      </c>
      <c r="C76" s="151">
        <v>0.919493077430225</v>
      </c>
      <c r="D76" s="151">
        <v>0.9560899876969945</v>
      </c>
    </row>
    <row r="77" spans="1:4" ht="12.75">
      <c r="A77" s="150">
        <v>43206</v>
      </c>
      <c r="B77" s="151">
        <v>0.9101295874962904</v>
      </c>
      <c r="C77" s="151">
        <v>0.9172309640960686</v>
      </c>
      <c r="D77" s="151">
        <v>0.9530469822174205</v>
      </c>
    </row>
    <row r="78" spans="1:4" ht="12.75">
      <c r="A78" s="150">
        <v>43207</v>
      </c>
      <c r="B78" s="151">
        <v>0.9118885970563457</v>
      </c>
      <c r="C78" s="151">
        <v>0.9183046383456079</v>
      </c>
      <c r="D78" s="151">
        <v>0.9592652461425424</v>
      </c>
    </row>
    <row r="79" spans="1:4" ht="12.75">
      <c r="A79" s="150">
        <v>43208</v>
      </c>
      <c r="B79" s="151">
        <v>0.9140174846016292</v>
      </c>
      <c r="C79" s="151">
        <v>0.9334886834081163</v>
      </c>
      <c r="D79" s="151">
        <v>0.9643669670556951</v>
      </c>
    </row>
    <row r="80" spans="1:4" ht="12.75">
      <c r="A80" s="150">
        <v>43209</v>
      </c>
      <c r="B80" s="151">
        <v>0.9125216960079345</v>
      </c>
      <c r="C80" s="151">
        <v>0.9329798567924482</v>
      </c>
      <c r="D80" s="151">
        <v>0.9608466543024523</v>
      </c>
    </row>
    <row r="81" spans="1:4" ht="12.75">
      <c r="A81" s="150">
        <v>43210</v>
      </c>
      <c r="B81" s="151">
        <v>0.9110307951282305</v>
      </c>
      <c r="C81" s="151">
        <v>0.9268941072219761</v>
      </c>
      <c r="D81" s="151">
        <v>0.957520462346349</v>
      </c>
    </row>
    <row r="82" spans="1:4" ht="12.75">
      <c r="A82" s="150">
        <v>43213</v>
      </c>
      <c r="B82" s="151">
        <v>0.9082876746137519</v>
      </c>
      <c r="C82" s="151">
        <v>0.9175662175004264</v>
      </c>
      <c r="D82" s="151">
        <v>0.9484221537746266</v>
      </c>
    </row>
    <row r="83" spans="1:4" ht="12.75">
      <c r="A83" s="150">
        <v>43214</v>
      </c>
      <c r="B83" s="151">
        <v>0.9082876746137519</v>
      </c>
      <c r="C83" s="151">
        <v>0.9205495526328656</v>
      </c>
      <c r="D83" s="151">
        <v>0.9414190943178541</v>
      </c>
    </row>
    <row r="84" spans="1:4" ht="12.75">
      <c r="A84" s="150">
        <v>43215</v>
      </c>
      <c r="B84" s="151">
        <v>0.908422195892575</v>
      </c>
      <c r="C84" s="151">
        <v>0.9196727317132739</v>
      </c>
      <c r="D84" s="151">
        <v>0.9323297531992687</v>
      </c>
    </row>
    <row r="85" spans="1:4" ht="12.75">
      <c r="A85" s="150">
        <v>43216</v>
      </c>
      <c r="B85" s="151">
        <v>0.8952079785940161</v>
      </c>
      <c r="C85" s="151">
        <v>0.9257319861346706</v>
      </c>
      <c r="D85" s="151">
        <v>0.9345989748876099</v>
      </c>
    </row>
    <row r="86" spans="1:4" ht="12.75">
      <c r="A86" s="150">
        <v>43217</v>
      </c>
      <c r="B86" s="151">
        <v>0.8959053507960466</v>
      </c>
      <c r="C86" s="151">
        <v>0.9301911960871501</v>
      </c>
      <c r="D86" s="151">
        <v>0.9415820447726747</v>
      </c>
    </row>
    <row r="87" spans="1:4" ht="12.75">
      <c r="A87" s="150">
        <v>43220</v>
      </c>
      <c r="B87" s="151">
        <v>0.8959053507960466</v>
      </c>
      <c r="C87" s="151">
        <v>0.9281964061229018</v>
      </c>
      <c r="D87" s="151">
        <v>0.9365029266613106</v>
      </c>
    </row>
    <row r="88" spans="1:4" ht="12.75">
      <c r="A88" s="150">
        <v>43221</v>
      </c>
      <c r="B88" s="151">
        <v>0.8959053507960466</v>
      </c>
      <c r="C88" s="151">
        <v>0.9189321099126359</v>
      </c>
      <c r="D88" s="151">
        <v>0.9304427150146812</v>
      </c>
    </row>
    <row r="89" spans="1:4" ht="12.75">
      <c r="A89" s="150">
        <v>43222</v>
      </c>
      <c r="B89" s="151">
        <v>0.8685042714872326</v>
      </c>
      <c r="C89" s="151">
        <v>0.9042576183272099</v>
      </c>
      <c r="D89" s="151">
        <v>0.9219535619456528</v>
      </c>
    </row>
    <row r="90" spans="1:4" ht="12.75">
      <c r="A90" s="150">
        <v>43223</v>
      </c>
      <c r="B90" s="151">
        <v>0.8223543081873436</v>
      </c>
      <c r="C90" s="151">
        <v>0.8929359038201607</v>
      </c>
      <c r="D90" s="151">
        <v>0.9221619483528282</v>
      </c>
    </row>
    <row r="91" spans="1:4" ht="12.75">
      <c r="A91" s="150">
        <v>43224</v>
      </c>
      <c r="B91" s="151">
        <v>0.8416117819246248</v>
      </c>
      <c r="C91" s="151">
        <v>0.8883227176220807</v>
      </c>
      <c r="D91" s="151">
        <v>0.9255352332340847</v>
      </c>
    </row>
    <row r="92" spans="1:4" ht="12.75">
      <c r="A92" s="150">
        <v>43227</v>
      </c>
      <c r="B92" s="151">
        <v>0.8384671466326437</v>
      </c>
      <c r="C92" s="151">
        <v>0.8834459459459458</v>
      </c>
      <c r="D92" s="151">
        <v>0.9200045099642021</v>
      </c>
    </row>
    <row r="93" spans="1:4" ht="12.75">
      <c r="A93" s="150">
        <v>43228</v>
      </c>
      <c r="B93" s="151">
        <v>0.8185498220640569</v>
      </c>
      <c r="C93" s="151">
        <v>0.8743788603538754</v>
      </c>
      <c r="D93" s="151">
        <v>0.9137202205985275</v>
      </c>
    </row>
    <row r="94" spans="1:4" ht="12.75">
      <c r="A94" s="150">
        <v>43229</v>
      </c>
      <c r="B94" s="151">
        <v>0.8108310566669604</v>
      </c>
      <c r="C94" s="151">
        <v>0.8787249434111962</v>
      </c>
      <c r="D94" s="151">
        <v>0.9076221462139541</v>
      </c>
    </row>
    <row r="95" spans="1:4" ht="12.75">
      <c r="A95" s="150">
        <v>43230</v>
      </c>
      <c r="B95" s="151">
        <v>0.8105810316726135</v>
      </c>
      <c r="C95" s="151">
        <v>0.8887210592150292</v>
      </c>
      <c r="D95" s="151">
        <v>0.9189942561099222</v>
      </c>
    </row>
    <row r="96" spans="1:4" ht="12.75">
      <c r="A96" s="150">
        <v>43231</v>
      </c>
      <c r="B96" s="151">
        <v>0.7929756517991813</v>
      </c>
      <c r="C96" s="151">
        <v>0.8751714040021382</v>
      </c>
      <c r="D96" s="151">
        <v>0.9110422598113103</v>
      </c>
    </row>
    <row r="97" spans="1:4" ht="12.75">
      <c r="A97" s="150">
        <v>43234</v>
      </c>
      <c r="B97" s="151">
        <v>0.736511367275056</v>
      </c>
      <c r="C97" s="151">
        <v>0.8695531693799792</v>
      </c>
      <c r="D97" s="151">
        <v>0.9031517197487479</v>
      </c>
    </row>
    <row r="98" spans="1:4" ht="12.75">
      <c r="A98" s="150">
        <v>43235</v>
      </c>
      <c r="B98" s="151">
        <v>0.7649553107462066</v>
      </c>
      <c r="C98" s="151">
        <v>0.8460691576605927</v>
      </c>
      <c r="D98" s="151">
        <v>0.8907537798155122</v>
      </c>
    </row>
    <row r="99" spans="1:4" ht="12.75">
      <c r="A99" s="150">
        <v>43236</v>
      </c>
      <c r="B99" s="151">
        <v>0.7580226570545829</v>
      </c>
      <c r="C99" s="151">
        <v>0.8522542096686583</v>
      </c>
      <c r="D99" s="151">
        <v>0.8867606705246285</v>
      </c>
    </row>
    <row r="100" spans="1:4" ht="12.75">
      <c r="A100" s="150">
        <v>43237</v>
      </c>
      <c r="B100" s="151">
        <v>0.7567756528891629</v>
      </c>
      <c r="C100" s="151">
        <v>0.8451387018583356</v>
      </c>
      <c r="D100" s="151">
        <v>0.8837354127744836</v>
      </c>
    </row>
    <row r="101" spans="1:4" ht="12.75">
      <c r="A101" s="150">
        <v>43238</v>
      </c>
      <c r="B101" s="151">
        <v>0.7534599950863974</v>
      </c>
      <c r="C101" s="151">
        <v>0.8387757829554061</v>
      </c>
      <c r="D101" s="151">
        <v>0.8724905771338448</v>
      </c>
    </row>
    <row r="102" spans="1:4" ht="12.75">
      <c r="A102" s="150">
        <v>43242</v>
      </c>
      <c r="B102" s="151">
        <v>0.757616930171278</v>
      </c>
      <c r="C102" s="151">
        <v>0.8098935369394559</v>
      </c>
      <c r="D102" s="151">
        <v>0.8954949517120281</v>
      </c>
    </row>
    <row r="103" spans="1:4" ht="12.75">
      <c r="A103" s="150">
        <v>43243</v>
      </c>
      <c r="B103" s="151">
        <v>0.7516134302753044</v>
      </c>
      <c r="C103" s="151">
        <v>0.796345641416064</v>
      </c>
      <c r="D103" s="151">
        <v>0.8963310814521888</v>
      </c>
    </row>
    <row r="104" spans="1:4" ht="12.75">
      <c r="A104" s="150">
        <v>43244</v>
      </c>
      <c r="B104" s="151">
        <v>0.7483731901740687</v>
      </c>
      <c r="C104" s="151">
        <v>0.7954204600663273</v>
      </c>
      <c r="D104" s="151">
        <v>0.8957898781424963</v>
      </c>
    </row>
    <row r="105" spans="1:4" ht="12.75">
      <c r="A105" s="150">
        <v>43245</v>
      </c>
      <c r="B105" s="151">
        <v>0.7483731901740687</v>
      </c>
      <c r="C105" s="151">
        <v>0.7981686379244561</v>
      </c>
      <c r="D105" s="151">
        <v>0.8913132526830333</v>
      </c>
    </row>
    <row r="106" spans="1:4" ht="12.75">
      <c r="A106" s="150">
        <v>43248</v>
      </c>
      <c r="B106" s="151">
        <v>0.744768689035496</v>
      </c>
      <c r="C106" s="151">
        <v>0.8208392370572207</v>
      </c>
      <c r="D106" s="151">
        <v>0.878928234818904</v>
      </c>
    </row>
    <row r="107" spans="1:4" ht="12.75">
      <c r="A107" s="150">
        <v>43249</v>
      </c>
      <c r="B107" s="151">
        <v>0.7399171659495758</v>
      </c>
      <c r="C107" s="151">
        <v>0.8254274441034634</v>
      </c>
      <c r="D107" s="151">
        <v>0.8738922059492891</v>
      </c>
    </row>
    <row r="108" spans="1:4" ht="12.75">
      <c r="A108" s="150">
        <v>43250</v>
      </c>
      <c r="B108" s="151">
        <v>0.7381659178433889</v>
      </c>
      <c r="C108" s="151">
        <v>0.8411741053478086</v>
      </c>
      <c r="D108" s="151">
        <v>0.8738688085676037</v>
      </c>
    </row>
    <row r="109" spans="1:4" ht="12.75">
      <c r="A109" s="150">
        <v>43251</v>
      </c>
      <c r="B109" s="151">
        <v>0.7368947979656402</v>
      </c>
      <c r="C109" s="151">
        <v>0.8323423443336797</v>
      </c>
      <c r="D109" s="151">
        <v>0.8762147651006711</v>
      </c>
    </row>
    <row r="110" spans="1:4" ht="12.75">
      <c r="A110" s="150">
        <v>43252</v>
      </c>
      <c r="B110" s="151">
        <v>0.7366882856914084</v>
      </c>
      <c r="C110" s="151">
        <v>0.8162132870922293</v>
      </c>
      <c r="D110" s="151">
        <v>0.8698630136986302</v>
      </c>
    </row>
    <row r="111" spans="1:4" ht="12.75">
      <c r="A111" s="150">
        <v>43255</v>
      </c>
      <c r="B111" s="151">
        <v>0.7369538227401978</v>
      </c>
      <c r="C111" s="151">
        <v>0.81935680403847</v>
      </c>
      <c r="D111" s="151">
        <v>0.8725372256529527</v>
      </c>
    </row>
    <row r="112" spans="1:4" ht="12.75">
      <c r="A112" s="150">
        <v>43256</v>
      </c>
      <c r="B112" s="151">
        <v>0.737337714377304</v>
      </c>
      <c r="C112" s="151">
        <v>0.8178619521306634</v>
      </c>
      <c r="D112" s="151">
        <v>0.8633970848874427</v>
      </c>
    </row>
    <row r="113" spans="1:4" ht="12.75">
      <c r="A113" s="150">
        <v>43257</v>
      </c>
      <c r="B113" s="151">
        <v>0.7389366315958557</v>
      </c>
      <c r="C113" s="151">
        <v>0.8246862749392261</v>
      </c>
      <c r="D113" s="151">
        <v>0.8538205980066444</v>
      </c>
    </row>
    <row r="114" spans="1:4" ht="12.75">
      <c r="A114" s="150">
        <v>43258</v>
      </c>
      <c r="B114" s="151">
        <v>0.73648188913348</v>
      </c>
      <c r="C114" s="151">
        <v>0.8386450190418921</v>
      </c>
      <c r="D114" s="151">
        <v>0.8340957297283483</v>
      </c>
    </row>
    <row r="115" spans="1:4" ht="12.75">
      <c r="A115" s="150">
        <v>43259</v>
      </c>
      <c r="B115" s="151">
        <v>0.7261641673243884</v>
      </c>
      <c r="C115" s="151">
        <v>0.8404419149648477</v>
      </c>
      <c r="D115" s="151">
        <v>0.8672281857795727</v>
      </c>
    </row>
    <row r="116" spans="1:4" ht="12.75">
      <c r="A116" s="150">
        <v>43262</v>
      </c>
      <c r="B116" s="151">
        <v>0.7065350944555367</v>
      </c>
      <c r="C116" s="151">
        <v>0.8340938289106455</v>
      </c>
      <c r="D116" s="151">
        <v>0.8809684471915572</v>
      </c>
    </row>
    <row r="117" spans="1:4" ht="12.75">
      <c r="A117" s="150">
        <v>43263</v>
      </c>
      <c r="B117" s="151">
        <v>0.7144632110269851</v>
      </c>
      <c r="C117" s="151">
        <v>0.8241267617963757</v>
      </c>
      <c r="D117" s="151">
        <v>0.8809922263010149</v>
      </c>
    </row>
    <row r="118" spans="1:4" ht="12.75">
      <c r="A118" s="150">
        <v>43264</v>
      </c>
      <c r="B118" s="151">
        <v>0.7008302864107251</v>
      </c>
      <c r="C118" s="151">
        <v>0.8117966627861853</v>
      </c>
      <c r="D118" s="151">
        <v>0.880303152898023</v>
      </c>
    </row>
    <row r="119" spans="1:4" ht="12.75">
      <c r="A119" s="150">
        <v>43265</v>
      </c>
      <c r="B119" s="151">
        <v>0.6575543167524299</v>
      </c>
      <c r="C119" s="151">
        <v>0.8034994132081511</v>
      </c>
      <c r="D119" s="151">
        <v>0.8747353469300244</v>
      </c>
    </row>
    <row r="120" spans="1:4" ht="12.75">
      <c r="A120" s="150">
        <v>43266</v>
      </c>
      <c r="B120" s="151">
        <v>0.6511093025724496</v>
      </c>
      <c r="C120" s="151">
        <v>0.796160433008436</v>
      </c>
      <c r="D120" s="151">
        <v>0.8681739593030989</v>
      </c>
    </row>
    <row r="121" spans="1:4" ht="12.75">
      <c r="A121" s="150">
        <v>43269</v>
      </c>
      <c r="B121" s="151">
        <v>0.6662683756970093</v>
      </c>
      <c r="C121" s="151">
        <v>0.797121083827265</v>
      </c>
      <c r="D121" s="151">
        <v>0.8700021324234993</v>
      </c>
    </row>
    <row r="122" spans="1:4" ht="12.75">
      <c r="A122" s="150">
        <v>43270</v>
      </c>
      <c r="B122" s="151">
        <v>0.66271699200461</v>
      </c>
      <c r="C122" s="151">
        <v>0.7944806633331224</v>
      </c>
      <c r="D122" s="151">
        <v>0.8707913131636518</v>
      </c>
    </row>
    <row r="123" spans="1:4" ht="12.75">
      <c r="A123" s="150">
        <v>43271</v>
      </c>
      <c r="B123" s="151">
        <v>0.66271699200461</v>
      </c>
      <c r="C123" s="151">
        <v>0.7943968608919456</v>
      </c>
      <c r="D123" s="151">
        <v>0.8711166862389239</v>
      </c>
    </row>
    <row r="124" spans="1:4" ht="12.75">
      <c r="A124" s="150">
        <v>43272</v>
      </c>
      <c r="B124" s="151">
        <v>0.6689813131680361</v>
      </c>
      <c r="C124" s="151">
        <v>0.7958407304083186</v>
      </c>
      <c r="D124" s="151">
        <v>0.8631687514875837</v>
      </c>
    </row>
    <row r="125" spans="1:4" ht="12.75">
      <c r="A125" s="150">
        <v>43273</v>
      </c>
      <c r="B125" s="151">
        <v>0.680812490750333</v>
      </c>
      <c r="C125" s="151">
        <v>0.8041686242685687</v>
      </c>
      <c r="D125" s="151">
        <v>0.8669978218137384</v>
      </c>
    </row>
    <row r="126" spans="1:4" ht="12.75">
      <c r="A126" s="150">
        <v>43276</v>
      </c>
      <c r="B126" s="151">
        <v>0.6792794123075787</v>
      </c>
      <c r="C126" s="151">
        <v>0.8027628549501151</v>
      </c>
      <c r="D126" s="151">
        <v>0.8643802966101695</v>
      </c>
    </row>
    <row r="127" spans="1:4" ht="12.75">
      <c r="A127" s="150">
        <v>43277</v>
      </c>
      <c r="B127" s="151">
        <v>0.6793546481577198</v>
      </c>
      <c r="C127" s="151">
        <v>0.8147651297141745</v>
      </c>
      <c r="D127" s="151">
        <v>0.863694098967981</v>
      </c>
    </row>
    <row r="128" spans="1:4" ht="12.75">
      <c r="A128" s="150">
        <v>43278</v>
      </c>
      <c r="B128" s="151">
        <v>0.6706148183242829</v>
      </c>
      <c r="C128" s="151">
        <v>0.8149767341196841</v>
      </c>
      <c r="D128" s="151">
        <v>0.8489128173116937</v>
      </c>
    </row>
    <row r="129" spans="1:4" ht="12.75">
      <c r="A129" s="150">
        <v>43279</v>
      </c>
      <c r="B129" s="151">
        <v>0.6549797109703139</v>
      </c>
      <c r="C129" s="151">
        <v>0.8197135269275981</v>
      </c>
      <c r="D129" s="151">
        <v>0.8472820725819014</v>
      </c>
    </row>
    <row r="130" spans="1:4" ht="12.75">
      <c r="A130" s="150">
        <v>43280</v>
      </c>
      <c r="B130" s="151">
        <v>0.6361404964391897</v>
      </c>
      <c r="C130" s="151">
        <v>0.8207140054923501</v>
      </c>
      <c r="D130" s="151">
        <v>0.8452195980940543</v>
      </c>
    </row>
    <row r="131" spans="1:4" ht="12.75">
      <c r="A131" s="150">
        <v>43284</v>
      </c>
      <c r="B131" s="151">
        <v>0.6361404964391897</v>
      </c>
      <c r="C131" s="151">
        <v>0.8058551617873653</v>
      </c>
      <c r="D131" s="151">
        <v>0.8384237971692056</v>
      </c>
    </row>
    <row r="132" spans="1:4" ht="12.75">
      <c r="A132" s="150">
        <v>43285</v>
      </c>
      <c r="B132" s="151">
        <v>0.6591796525165682</v>
      </c>
      <c r="C132" s="151">
        <v>0.8056655041828024</v>
      </c>
      <c r="D132" s="151">
        <v>0.8353980035833121</v>
      </c>
    </row>
    <row r="133" spans="1:4" ht="12.75">
      <c r="A133" s="150">
        <v>43286</v>
      </c>
      <c r="B133" s="151">
        <v>0.6526102993332387</v>
      </c>
      <c r="C133" s="151">
        <v>0.8188579132779542</v>
      </c>
      <c r="D133" s="151">
        <v>0.8320756641003416</v>
      </c>
    </row>
    <row r="134" spans="1:4" ht="12.75">
      <c r="A134" s="150">
        <v>43287</v>
      </c>
      <c r="B134" s="151">
        <v>0.6517319543812424</v>
      </c>
      <c r="C134" s="151">
        <v>0.822362961345272</v>
      </c>
      <c r="D134" s="151">
        <v>0.8358472688161028</v>
      </c>
    </row>
    <row r="135" spans="1:4" ht="12.75">
      <c r="A135" s="150">
        <v>43290</v>
      </c>
      <c r="B135" s="151">
        <v>0.6602913736184871</v>
      </c>
      <c r="C135" s="151">
        <v>0.8237301483134271</v>
      </c>
      <c r="D135" s="151">
        <v>0.8438210961737332</v>
      </c>
    </row>
    <row r="136" spans="1:4" ht="12.75">
      <c r="A136" s="150">
        <v>43291</v>
      </c>
      <c r="B136" s="151">
        <v>0.6672831447635624</v>
      </c>
      <c r="C136" s="151">
        <v>0.8001699957501062</v>
      </c>
      <c r="D136" s="151">
        <v>0.851726207562433</v>
      </c>
    </row>
    <row r="137" spans="1:4" ht="12.75">
      <c r="A137" s="150">
        <v>43292</v>
      </c>
      <c r="B137" s="151">
        <v>0.6667753741348698</v>
      </c>
      <c r="C137" s="151">
        <v>0.7822672788084011</v>
      </c>
      <c r="D137" s="151">
        <v>0.847062182082425</v>
      </c>
    </row>
    <row r="138" spans="1:4" ht="12.75">
      <c r="A138" s="150">
        <v>43293</v>
      </c>
      <c r="B138" s="151">
        <v>0.6779779669135257</v>
      </c>
      <c r="C138" s="151">
        <v>0.7759484019864411</v>
      </c>
      <c r="D138" s="151">
        <v>0.8441047922000673</v>
      </c>
    </row>
    <row r="139" spans="1:4" ht="12.75">
      <c r="A139" s="150">
        <v>43294</v>
      </c>
      <c r="B139" s="151">
        <v>0.676233876006027</v>
      </c>
      <c r="C139" s="151">
        <v>0.7776469859364352</v>
      </c>
      <c r="D139" s="151">
        <v>0.8437992813008971</v>
      </c>
    </row>
    <row r="140" spans="1:4" ht="12.75">
      <c r="A140" s="150">
        <v>43297</v>
      </c>
      <c r="B140" s="151">
        <v>0.6746223786478955</v>
      </c>
      <c r="C140" s="151">
        <v>0.7779361636194608</v>
      </c>
      <c r="D140" s="151">
        <v>0.8457233177001011</v>
      </c>
    </row>
    <row r="141" spans="1:4" ht="12.75">
      <c r="A141" s="150">
        <v>43298</v>
      </c>
      <c r="B141" s="151">
        <v>0.6707614916341632</v>
      </c>
      <c r="C141" s="151">
        <v>0.7838467943380516</v>
      </c>
      <c r="D141" s="151">
        <v>0.8457452321724711</v>
      </c>
    </row>
    <row r="142" spans="1:4" ht="12.75">
      <c r="A142" s="150">
        <v>43299</v>
      </c>
      <c r="B142" s="151">
        <v>0.664511935285833</v>
      </c>
      <c r="C142" s="151">
        <v>0.7831295233341652</v>
      </c>
      <c r="D142" s="151">
        <v>0.8498411706504193</v>
      </c>
    </row>
    <row r="143" spans="1:4" ht="12.75">
      <c r="A143" s="150">
        <v>43300</v>
      </c>
      <c r="B143" s="151">
        <v>0.6644159595594873</v>
      </c>
      <c r="C143" s="151">
        <v>0.7815366734465153</v>
      </c>
      <c r="D143" s="151">
        <v>0.8426229508196721</v>
      </c>
    </row>
    <row r="144" spans="1:4" ht="12.75">
      <c r="A144" s="150">
        <v>43301</v>
      </c>
      <c r="B144" s="151">
        <v>0.6663648873759687</v>
      </c>
      <c r="C144" s="151">
        <v>0.7862362717668184</v>
      </c>
      <c r="D144" s="151">
        <v>0.8637855290319165</v>
      </c>
    </row>
    <row r="145" spans="1:4" ht="12.75">
      <c r="A145" s="150">
        <v>43304</v>
      </c>
      <c r="B145" s="151">
        <v>0.6662925009957634</v>
      </c>
      <c r="C145" s="151">
        <v>0.7931252369518514</v>
      </c>
      <c r="D145" s="151">
        <v>0.8613691544389317</v>
      </c>
    </row>
    <row r="146" spans="1:4" ht="12.75">
      <c r="A146" s="150">
        <v>43305</v>
      </c>
      <c r="B146" s="151">
        <v>0.6710060897786531</v>
      </c>
      <c r="C146" s="151">
        <v>0.7713232281851701</v>
      </c>
      <c r="D146" s="151">
        <v>0.8707448511364848</v>
      </c>
    </row>
    <row r="147" spans="1:4" ht="12.75">
      <c r="A147" s="150">
        <v>43306</v>
      </c>
      <c r="B147" s="151">
        <v>0.6742762916819347</v>
      </c>
      <c r="C147" s="151">
        <v>0.7802735184417738</v>
      </c>
      <c r="D147" s="151">
        <v>0.8795677481944595</v>
      </c>
    </row>
    <row r="148" spans="1:4" ht="12.75">
      <c r="A148" s="150">
        <v>43307</v>
      </c>
      <c r="B148" s="151">
        <v>0.6726986912334576</v>
      </c>
      <c r="C148" s="151">
        <v>0.7773259294428505</v>
      </c>
      <c r="D148" s="151">
        <v>0.875627095908786</v>
      </c>
    </row>
    <row r="149" spans="1:4" ht="12.75">
      <c r="A149" s="150">
        <v>43308</v>
      </c>
      <c r="B149" s="151">
        <v>0.6738811982714422</v>
      </c>
      <c r="C149" s="151">
        <v>0.7754849870258247</v>
      </c>
      <c r="D149" s="151">
        <v>0.87758120025812</v>
      </c>
    </row>
    <row r="150" spans="1:4" ht="12.75">
      <c r="A150" s="150">
        <v>43311</v>
      </c>
      <c r="B150" s="151">
        <v>0.6723791427631819</v>
      </c>
      <c r="C150" s="151">
        <v>0.770707546204384</v>
      </c>
      <c r="D150" s="151">
        <v>0.8770623958725211</v>
      </c>
    </row>
    <row r="151" spans="1:4" ht="12.75">
      <c r="A151" s="150">
        <v>43312</v>
      </c>
      <c r="B151" s="151">
        <v>0.6731662703493689</v>
      </c>
      <c r="C151" s="151">
        <v>0.7668934055639283</v>
      </c>
      <c r="D151" s="151">
        <v>0.8698166506769001</v>
      </c>
    </row>
    <row r="152" spans="1:4" ht="12.75">
      <c r="A152" s="150">
        <v>43313</v>
      </c>
      <c r="B152" s="151">
        <v>0.6660513266007891</v>
      </c>
      <c r="C152" s="151">
        <v>0.7596683411002844</v>
      </c>
      <c r="D152" s="151">
        <v>0.8703269158978189</v>
      </c>
    </row>
    <row r="153" spans="1:4" ht="12.75">
      <c r="A153" s="150">
        <v>43314</v>
      </c>
      <c r="B153" s="151">
        <v>0.6666304387204289</v>
      </c>
      <c r="C153" s="151">
        <v>0.7439250859378087</v>
      </c>
      <c r="D153" s="151">
        <v>0.8675047841803104</v>
      </c>
    </row>
    <row r="154" spans="1:4" ht="12.75">
      <c r="A154" s="150">
        <v>43315</v>
      </c>
      <c r="B154" s="151">
        <v>0.674177474902909</v>
      </c>
      <c r="C154" s="151">
        <v>0.74163942175129</v>
      </c>
      <c r="D154" s="151">
        <v>0.8783841972119059</v>
      </c>
    </row>
    <row r="155" spans="1:4" ht="12.75">
      <c r="A155" s="150">
        <v>43319</v>
      </c>
      <c r="B155" s="151">
        <v>0.6754891523806027</v>
      </c>
      <c r="C155" s="151">
        <v>0.7147792414866558</v>
      </c>
      <c r="D155" s="151">
        <v>0.8754392082182227</v>
      </c>
    </row>
    <row r="156" spans="1:4" ht="12.75">
      <c r="A156" s="150">
        <v>43320</v>
      </c>
      <c r="B156" s="151">
        <v>0.6694680928472677</v>
      </c>
      <c r="C156" s="151">
        <v>0.7123318767379831</v>
      </c>
      <c r="D156" s="151">
        <v>0.8689829605963793</v>
      </c>
    </row>
    <row r="157" spans="1:4" ht="12.75">
      <c r="A157" s="150">
        <v>43321</v>
      </c>
      <c r="B157" s="151">
        <v>0.6579304919908466</v>
      </c>
      <c r="C157" s="151">
        <v>0.6864142620171713</v>
      </c>
      <c r="D157" s="151">
        <v>0.8582660601120198</v>
      </c>
    </row>
    <row r="158" spans="1:4" ht="12.75">
      <c r="A158" s="150">
        <v>43322</v>
      </c>
      <c r="B158" s="151">
        <v>0.6351523937730834</v>
      </c>
      <c r="C158" s="151">
        <v>0.5886877403620674</v>
      </c>
      <c r="D158" s="151">
        <v>0.8467764950058374</v>
      </c>
    </row>
    <row r="159" spans="1:4" ht="12.75">
      <c r="A159" s="150">
        <v>43325</v>
      </c>
      <c r="B159" s="151">
        <v>0.6144316815814077</v>
      </c>
      <c r="C159" s="151">
        <v>0.5420781389456713</v>
      </c>
      <c r="D159" s="151">
        <v>0.8358472688161028</v>
      </c>
    </row>
    <row r="160" spans="1:4" ht="12.75">
      <c r="A160" s="150">
        <v>43326</v>
      </c>
      <c r="B160" s="151">
        <v>0.6299123647815966</v>
      </c>
      <c r="C160" s="151">
        <v>0.5835244529845658</v>
      </c>
      <c r="D160" s="151">
        <v>0.841471589151284</v>
      </c>
    </row>
    <row r="161" spans="1:4" ht="12.75">
      <c r="A161" s="150">
        <v>43327</v>
      </c>
      <c r="B161" s="151">
        <v>0.6141240863731936</v>
      </c>
      <c r="C161" s="151">
        <v>0.6233921033027068</v>
      </c>
      <c r="D161" s="151">
        <v>0.8359757190789642</v>
      </c>
    </row>
    <row r="162" spans="1:4" ht="12.75">
      <c r="A162" s="150">
        <v>43328</v>
      </c>
      <c r="B162" s="151">
        <v>0.6178564233429589</v>
      </c>
      <c r="C162" s="151">
        <v>0.649073515470137</v>
      </c>
      <c r="D162" s="151">
        <v>0.8385530406186573</v>
      </c>
    </row>
    <row r="163" spans="1:4" ht="12.75">
      <c r="A163" s="150">
        <v>43329</v>
      </c>
      <c r="B163" s="151">
        <v>0.6181885372572734</v>
      </c>
      <c r="C163" s="151">
        <v>0.6191995264248363</v>
      </c>
      <c r="D163" s="151">
        <v>0.8296433745964771</v>
      </c>
    </row>
    <row r="164" spans="1:4" ht="12.75">
      <c r="A164" s="150">
        <v>43332</v>
      </c>
      <c r="B164" s="151">
        <v>0.6172967895601998</v>
      </c>
      <c r="C164" s="151">
        <v>0.6136196978832271</v>
      </c>
      <c r="D164" s="151">
        <v>0.8266595750069651</v>
      </c>
    </row>
    <row r="165" spans="1:4" ht="12.75">
      <c r="A165" s="150">
        <v>43333</v>
      </c>
      <c r="B165" s="151">
        <v>0.6155209901321291</v>
      </c>
      <c r="C165" s="151">
        <v>0.6198926678299805</v>
      </c>
      <c r="D165" s="151">
        <v>0.8174668770506174</v>
      </c>
    </row>
    <row r="166" spans="1:4" ht="12.75">
      <c r="A166" s="150">
        <v>43334</v>
      </c>
      <c r="B166" s="151">
        <v>0.6095670321661641</v>
      </c>
      <c r="C166" s="151">
        <v>0.6225881652695799</v>
      </c>
      <c r="D166" s="151">
        <v>0.801941031941032</v>
      </c>
    </row>
    <row r="167" spans="1:4" ht="12.75">
      <c r="A167" s="150">
        <v>43335</v>
      </c>
      <c r="B167" s="151">
        <v>0.6094257137179573</v>
      </c>
      <c r="C167" s="151">
        <v>0.616886733724321</v>
      </c>
      <c r="D167" s="151">
        <v>0.7985467178822206</v>
      </c>
    </row>
    <row r="168" spans="1:4" ht="12.75">
      <c r="A168" s="150">
        <v>43336</v>
      </c>
      <c r="B168" s="151">
        <v>0.6028766135901973</v>
      </c>
      <c r="C168" s="151">
        <v>0.6236502153030804</v>
      </c>
      <c r="D168" s="151">
        <v>0.7964422537273371</v>
      </c>
    </row>
    <row r="169" spans="1:4" ht="12.75">
      <c r="A169" s="150">
        <v>43339</v>
      </c>
      <c r="B169" s="151">
        <v>0.5955016181229774</v>
      </c>
      <c r="C169" s="151">
        <v>0.6118449914696564</v>
      </c>
      <c r="D169" s="151">
        <v>0.8005248700088294</v>
      </c>
    </row>
    <row r="170" spans="1:4" ht="12.75">
      <c r="A170" s="150">
        <v>43340</v>
      </c>
      <c r="B170" s="151">
        <v>0.5842885720636332</v>
      </c>
      <c r="C170" s="151">
        <v>0.6025731293605582</v>
      </c>
      <c r="D170" s="151">
        <v>0.7914019688666892</v>
      </c>
    </row>
    <row r="171" spans="1:4" ht="12.75">
      <c r="A171" s="150">
        <v>43341</v>
      </c>
      <c r="B171" s="151">
        <v>0.5823838460564628</v>
      </c>
      <c r="C171" s="151">
        <v>0.5844482383982618</v>
      </c>
      <c r="D171" s="151">
        <v>0.7897933504331414</v>
      </c>
    </row>
    <row r="172" spans="1:4" ht="12.75">
      <c r="A172" s="150">
        <v>43342</v>
      </c>
      <c r="B172" s="151">
        <v>0.45954248039558465</v>
      </c>
      <c r="C172" s="151">
        <v>0.5607743857036486</v>
      </c>
      <c r="D172" s="151">
        <v>0.7837811877146219</v>
      </c>
    </row>
    <row r="173" spans="1:4" ht="12.75">
      <c r="A173" s="150">
        <v>43343</v>
      </c>
      <c r="B173" s="151">
        <v>0.49824000866457263</v>
      </c>
      <c r="C173" s="151">
        <v>0.5716888322098743</v>
      </c>
      <c r="D173" s="151">
        <v>0.792786009230022</v>
      </c>
    </row>
    <row r="174" spans="1:4" ht="12.75">
      <c r="A174" s="150">
        <v>43347</v>
      </c>
      <c r="B174" s="151">
        <v>0.46955700724711646</v>
      </c>
      <c r="C174" s="151">
        <v>0.5633246566735483</v>
      </c>
      <c r="D174" s="151">
        <v>0.7841577973716455</v>
      </c>
    </row>
    <row r="175" spans="1:4" ht="12.75">
      <c r="A175" s="150">
        <v>43348</v>
      </c>
      <c r="B175" s="151">
        <v>0.4730455795778812</v>
      </c>
      <c r="C175" s="151">
        <v>0.5700531359280622</v>
      </c>
      <c r="D175" s="151">
        <v>0.7867094099498652</v>
      </c>
    </row>
    <row r="176" spans="1:4" ht="12.75">
      <c r="A176" s="150">
        <v>43349</v>
      </c>
      <c r="B176" s="151">
        <v>0.4900791008602552</v>
      </c>
      <c r="C176" s="151">
        <v>0.5719232696951747</v>
      </c>
      <c r="D176" s="151">
        <v>0.7894876880654057</v>
      </c>
    </row>
    <row r="177" spans="1:4" ht="12.75">
      <c r="A177" s="150">
        <v>43350</v>
      </c>
      <c r="B177" s="151">
        <v>0.4982130286456924</v>
      </c>
      <c r="C177" s="151">
        <v>0.5872647026715118</v>
      </c>
      <c r="D177" s="151">
        <v>0.804074694521088</v>
      </c>
    </row>
    <row r="178" spans="1:4" ht="12.75">
      <c r="A178" s="150">
        <v>43353</v>
      </c>
      <c r="B178" s="151">
        <v>0.4913747062593463</v>
      </c>
      <c r="C178" s="151">
        <v>0.5827298050139276</v>
      </c>
      <c r="D178" s="151">
        <v>0.7959566892649856</v>
      </c>
    </row>
    <row r="179" spans="1:4" ht="12.75">
      <c r="A179" s="150"/>
      <c r="B179" s="151"/>
      <c r="C179" s="151"/>
      <c r="D179" s="151"/>
    </row>
    <row r="180" spans="1:4" ht="12.75">
      <c r="A180" s="150"/>
      <c r="B180" s="151"/>
      <c r="C180" s="151"/>
      <c r="D180" s="151"/>
    </row>
    <row r="181" spans="1:4" ht="12.75">
      <c r="A181" s="150"/>
      <c r="B181" s="151"/>
      <c r="C181" s="151"/>
      <c r="D181" s="151"/>
    </row>
    <row r="182" spans="1:4" ht="12.75">
      <c r="A182" s="150"/>
      <c r="B182" s="151"/>
      <c r="C182" s="151"/>
      <c r="D182" s="151"/>
    </row>
    <row r="183" spans="1:4" ht="12.75">
      <c r="A183" s="150"/>
      <c r="B183" s="151"/>
      <c r="C183" s="151"/>
      <c r="D183" s="151"/>
    </row>
    <row r="184" spans="1:4" ht="12.75">
      <c r="A184" s="150"/>
      <c r="B184" s="151"/>
      <c r="C184" s="151"/>
      <c r="D184" s="151"/>
    </row>
    <row r="185" spans="1:4" ht="12.75">
      <c r="A185" s="150"/>
      <c r="B185" s="151"/>
      <c r="C185" s="151"/>
      <c r="D185" s="151"/>
    </row>
    <row r="186" spans="1:4" ht="12.75">
      <c r="A186" s="150"/>
      <c r="B186" s="151"/>
      <c r="C186" s="151"/>
      <c r="D186" s="151"/>
    </row>
    <row r="187" spans="1:4" ht="12.75">
      <c r="A187" s="150"/>
      <c r="B187" s="151"/>
      <c r="C187" s="151"/>
      <c r="D187" s="151"/>
    </row>
    <row r="188" spans="1:4" ht="12.75">
      <c r="A188" s="150"/>
      <c r="B188" s="151"/>
      <c r="C188" s="151"/>
      <c r="D188" s="151"/>
    </row>
    <row r="189" spans="1:4" ht="12.75">
      <c r="A189" s="150"/>
      <c r="B189" s="151"/>
      <c r="C189" s="151"/>
      <c r="D189" s="151"/>
    </row>
    <row r="190" spans="1:4" ht="12.75">
      <c r="A190" s="150"/>
      <c r="B190" s="151"/>
      <c r="C190" s="151"/>
      <c r="D190" s="151"/>
    </row>
    <row r="191" spans="1:4" ht="12.75">
      <c r="A191" s="150"/>
      <c r="B191" s="151"/>
      <c r="C191" s="151"/>
      <c r="D191" s="151"/>
    </row>
    <row r="192" spans="1:4" ht="12.75">
      <c r="A192" s="150"/>
      <c r="B192" s="151"/>
      <c r="C192" s="151"/>
      <c r="D192" s="151"/>
    </row>
    <row r="193" spans="1:4" ht="12.75">
      <c r="A193" s="150"/>
      <c r="B193" s="151"/>
      <c r="C193" s="151"/>
      <c r="D193" s="151"/>
    </row>
    <row r="194" spans="1:4" ht="12.75">
      <c r="A194" s="150"/>
      <c r="B194" s="151"/>
      <c r="C194" s="151"/>
      <c r="D194" s="151"/>
    </row>
    <row r="195" spans="1:4" ht="12.75">
      <c r="A195" s="150"/>
      <c r="B195" s="151"/>
      <c r="C195" s="151"/>
      <c r="D195" s="151"/>
    </row>
    <row r="196" spans="1:4" ht="12.75">
      <c r="A196" s="150"/>
      <c r="B196" s="151"/>
      <c r="C196" s="151"/>
      <c r="D196" s="151"/>
    </row>
    <row r="197" spans="1:4" ht="12.75">
      <c r="A197" s="150"/>
      <c r="B197" s="151"/>
      <c r="C197" s="151"/>
      <c r="D197" s="151"/>
    </row>
    <row r="198" spans="1:4" ht="12.75">
      <c r="A198" s="150"/>
      <c r="B198" s="151"/>
      <c r="C198" s="151"/>
      <c r="D198" s="151"/>
    </row>
    <row r="199" spans="1:4" ht="12.75">
      <c r="A199" s="150"/>
      <c r="B199" s="151"/>
      <c r="C199" s="151"/>
      <c r="D199" s="151"/>
    </row>
    <row r="200" spans="1:4" ht="12.75">
      <c r="A200" s="150"/>
      <c r="B200" s="151"/>
      <c r="C200" s="151"/>
      <c r="D200" s="151"/>
    </row>
    <row r="201" spans="1:4" ht="12.75">
      <c r="A201" s="150"/>
      <c r="B201" s="151"/>
      <c r="C201" s="151"/>
      <c r="D201" s="151"/>
    </row>
    <row r="202" spans="1:4" ht="12.75">
      <c r="A202" s="150"/>
      <c r="B202" s="151"/>
      <c r="C202" s="151"/>
      <c r="D202" s="151"/>
    </row>
    <row r="203" spans="1:4" ht="12.75">
      <c r="A203" s="150"/>
      <c r="B203" s="151"/>
      <c r="C203" s="151"/>
      <c r="D203" s="151"/>
    </row>
    <row r="204" spans="1:4" ht="12.75">
      <c r="A204" s="150"/>
      <c r="B204" s="151"/>
      <c r="C204" s="151"/>
      <c r="D204" s="151"/>
    </row>
    <row r="205" spans="1:4" ht="12.75">
      <c r="A205" s="150"/>
      <c r="B205" s="151"/>
      <c r="C205" s="151"/>
      <c r="D205" s="151"/>
    </row>
    <row r="206" spans="1:4" ht="12.75">
      <c r="A206" s="150"/>
      <c r="B206" s="151"/>
      <c r="C206" s="151"/>
      <c r="D206" s="151"/>
    </row>
    <row r="207" spans="1:4" ht="12.75">
      <c r="A207" s="150"/>
      <c r="B207" s="151"/>
      <c r="C207" s="151"/>
      <c r="D207" s="151"/>
    </row>
    <row r="208" spans="1:4" ht="12.75">
      <c r="A208" s="150"/>
      <c r="B208" s="151"/>
      <c r="C208" s="151"/>
      <c r="D208" s="151"/>
    </row>
    <row r="209" spans="1:4" ht="12.75">
      <c r="A209" s="150"/>
      <c r="B209" s="151"/>
      <c r="C209" s="151"/>
      <c r="D209" s="151"/>
    </row>
    <row r="210" spans="1:4" ht="12.75">
      <c r="A210" s="150"/>
      <c r="B210" s="151"/>
      <c r="C210" s="151"/>
      <c r="D210" s="151"/>
    </row>
    <row r="211" spans="1:4" ht="12.75">
      <c r="A211" s="150"/>
      <c r="B211" s="151"/>
      <c r="C211" s="151"/>
      <c r="D211" s="151"/>
    </row>
    <row r="212" spans="1:4" ht="12.75">
      <c r="A212" s="150"/>
      <c r="B212" s="151"/>
      <c r="C212" s="151"/>
      <c r="D212" s="151"/>
    </row>
    <row r="213" spans="1:4" ht="12.75">
      <c r="A213" s="150"/>
      <c r="B213" s="151"/>
      <c r="C213" s="151"/>
      <c r="D213" s="151"/>
    </row>
    <row r="214" spans="1:4" ht="12.75">
      <c r="A214" s="150"/>
      <c r="B214" s="151"/>
      <c r="C214" s="151"/>
      <c r="D214" s="151"/>
    </row>
    <row r="215" spans="1:4" ht="12.75">
      <c r="A215" s="150"/>
      <c r="B215" s="151"/>
      <c r="C215" s="151"/>
      <c r="D215" s="151"/>
    </row>
    <row r="216" spans="1:4" ht="12.75">
      <c r="A216" s="150"/>
      <c r="B216" s="151"/>
      <c r="C216" s="151"/>
      <c r="D216" s="151"/>
    </row>
    <row r="217" spans="1:4" ht="12.75">
      <c r="A217" s="150"/>
      <c r="B217" s="151"/>
      <c r="C217" s="151"/>
      <c r="D217" s="151"/>
    </row>
    <row r="218" spans="1:4" ht="12.75">
      <c r="A218" s="150"/>
      <c r="B218" s="151"/>
      <c r="C218" s="151"/>
      <c r="D218" s="151"/>
    </row>
    <row r="219" spans="1:4" ht="12.75">
      <c r="A219" s="150"/>
      <c r="B219" s="151"/>
      <c r="C219" s="151"/>
      <c r="D219" s="151"/>
    </row>
    <row r="220" spans="1:4" ht="12.75">
      <c r="A220" s="150"/>
      <c r="B220" s="151"/>
      <c r="C220" s="151"/>
      <c r="D220" s="151"/>
    </row>
    <row r="221" spans="1:4" ht="12.75">
      <c r="A221" s="150"/>
      <c r="B221" s="151"/>
      <c r="C221" s="151"/>
      <c r="D221" s="151"/>
    </row>
    <row r="222" spans="1:4" ht="12.75">
      <c r="A222" s="150"/>
      <c r="B222" s="151"/>
      <c r="C222" s="151"/>
      <c r="D222" s="151"/>
    </row>
    <row r="223" spans="1:4" ht="12.75">
      <c r="A223" s="150"/>
      <c r="B223" s="151"/>
      <c r="C223" s="151"/>
      <c r="D223" s="151"/>
    </row>
    <row r="224" spans="1:4" ht="12.75">
      <c r="A224" s="150"/>
      <c r="B224" s="151"/>
      <c r="C224" s="151"/>
      <c r="D224" s="151"/>
    </row>
    <row r="225" spans="1:4" ht="12.75">
      <c r="A225" s="150"/>
      <c r="B225" s="151"/>
      <c r="C225" s="151"/>
      <c r="D225" s="151"/>
    </row>
    <row r="226" spans="1:4" ht="12.75">
      <c r="A226" s="150"/>
      <c r="B226" s="151"/>
      <c r="C226" s="151"/>
      <c r="D226" s="151"/>
    </row>
    <row r="227" spans="1:4" ht="12.75">
      <c r="A227" s="150"/>
      <c r="B227" s="151"/>
      <c r="C227" s="151"/>
      <c r="D227" s="151"/>
    </row>
    <row r="228" spans="1:4" ht="12.75">
      <c r="A228" s="150"/>
      <c r="B228" s="151"/>
      <c r="C228" s="151"/>
      <c r="D228" s="151"/>
    </row>
    <row r="229" spans="1:4" ht="12.75">
      <c r="A229" s="150"/>
      <c r="B229" s="151"/>
      <c r="C229" s="151"/>
      <c r="D229" s="151"/>
    </row>
    <row r="230" spans="1:5" ht="12.75">
      <c r="A230" s="150"/>
      <c r="B230" s="151"/>
      <c r="C230" s="151"/>
      <c r="D230" s="151"/>
      <c r="E230" s="151"/>
    </row>
    <row r="231" spans="1:5" ht="12.75">
      <c r="A231" s="150"/>
      <c r="B231" s="151"/>
      <c r="C231" s="151"/>
      <c r="D231" s="151"/>
      <c r="E231" s="151"/>
    </row>
    <row r="232" spans="1:5" ht="12.75">
      <c r="A232" s="150"/>
      <c r="B232" s="151"/>
      <c r="C232" s="151"/>
      <c r="D232" s="151"/>
      <c r="E232" s="151"/>
    </row>
    <row r="233" spans="1:5" ht="12.75">
      <c r="A233" s="150"/>
      <c r="B233" s="151"/>
      <c r="C233" s="151"/>
      <c r="D233" s="151"/>
      <c r="E233" s="151"/>
    </row>
    <row r="234" spans="1:5" ht="12.75">
      <c r="A234" s="150"/>
      <c r="B234" s="151"/>
      <c r="C234" s="151"/>
      <c r="D234" s="151"/>
      <c r="E234" s="151"/>
    </row>
    <row r="235" spans="1:5" ht="12.75">
      <c r="A235" s="150"/>
      <c r="B235" s="151"/>
      <c r="C235" s="151"/>
      <c r="D235" s="151"/>
      <c r="E235" s="151"/>
    </row>
    <row r="236" spans="1:5" ht="12.75">
      <c r="A236" s="150"/>
      <c r="B236" s="151"/>
      <c r="C236" s="151"/>
      <c r="D236" s="151"/>
      <c r="E236" s="151"/>
    </row>
    <row r="237" spans="1:5" ht="12.75">
      <c r="A237" s="150"/>
      <c r="B237" s="151"/>
      <c r="C237" s="151"/>
      <c r="D237" s="151"/>
      <c r="E237" s="151"/>
    </row>
    <row r="238" spans="1:5" ht="12.75">
      <c r="A238" s="150"/>
      <c r="B238" s="151"/>
      <c r="C238" s="151"/>
      <c r="D238" s="151"/>
      <c r="E238" s="151"/>
    </row>
    <row r="239" spans="1:5" ht="12.75">
      <c r="A239" s="150"/>
      <c r="B239" s="151"/>
      <c r="C239" s="151"/>
      <c r="D239" s="151"/>
      <c r="E239" s="151"/>
    </row>
    <row r="240" spans="1:5" ht="12.75">
      <c r="A240" s="150"/>
      <c r="B240" s="151"/>
      <c r="C240" s="151"/>
      <c r="D240" s="151"/>
      <c r="E240" s="151"/>
    </row>
    <row r="241" spans="1:5" ht="12.75">
      <c r="A241" s="150"/>
      <c r="B241" s="151"/>
      <c r="C241" s="151"/>
      <c r="D241" s="151"/>
      <c r="E241" s="151"/>
    </row>
    <row r="242" spans="1:5" ht="12.75">
      <c r="A242" s="150"/>
      <c r="B242" s="151"/>
      <c r="C242" s="151"/>
      <c r="D242" s="151"/>
      <c r="E242" s="151"/>
    </row>
    <row r="243" spans="1:5" ht="12.75">
      <c r="A243" s="150"/>
      <c r="B243" s="151"/>
      <c r="C243" s="151"/>
      <c r="D243" s="151"/>
      <c r="E243" s="151"/>
    </row>
    <row r="244" spans="1:5" ht="12.75">
      <c r="A244" s="150"/>
      <c r="B244" s="151"/>
      <c r="C244" s="151"/>
      <c r="D244" s="151"/>
      <c r="E244" s="151"/>
    </row>
    <row r="245" spans="1:5" ht="12.75">
      <c r="A245" s="150"/>
      <c r="B245" s="151"/>
      <c r="C245" s="151"/>
      <c r="D245" s="151"/>
      <c r="E245" s="151"/>
    </row>
    <row r="246" spans="1:5" ht="12.75">
      <c r="A246" s="150"/>
      <c r="B246" s="151"/>
      <c r="C246" s="151"/>
      <c r="D246" s="151"/>
      <c r="E246" s="151"/>
    </row>
    <row r="247" spans="1:5" ht="12.75">
      <c r="A247" s="150"/>
      <c r="B247" s="151"/>
      <c r="C247" s="151"/>
      <c r="D247" s="151"/>
      <c r="E247" s="151"/>
    </row>
    <row r="248" spans="1:5" ht="12.75">
      <c r="A248" s="150"/>
      <c r="B248" s="151"/>
      <c r="C248" s="151"/>
      <c r="D248" s="151"/>
      <c r="E248" s="151"/>
    </row>
    <row r="249" spans="1:5" ht="12.75">
      <c r="A249" s="150"/>
      <c r="B249" s="151"/>
      <c r="C249" s="151"/>
      <c r="D249" s="151"/>
      <c r="E249" s="151"/>
    </row>
    <row r="250" spans="1:5" ht="12.75">
      <c r="A250" s="150"/>
      <c r="B250" s="151"/>
      <c r="C250" s="151"/>
      <c r="D250" s="151"/>
      <c r="E250" s="151"/>
    </row>
    <row r="251" spans="1:5" ht="12.75">
      <c r="A251" s="150"/>
      <c r="B251" s="151"/>
      <c r="C251" s="151"/>
      <c r="D251" s="151"/>
      <c r="E251" s="151"/>
    </row>
    <row r="252" spans="1:5" ht="12.75">
      <c r="A252" s="150"/>
      <c r="B252" s="151"/>
      <c r="C252" s="151"/>
      <c r="D252" s="151"/>
      <c r="E252" s="151"/>
    </row>
    <row r="253" spans="1:5" ht="12.75">
      <c r="A253" s="150"/>
      <c r="B253" s="151"/>
      <c r="C253" s="151"/>
      <c r="D253" s="151"/>
      <c r="E253" s="151"/>
    </row>
    <row r="254" spans="1:5" ht="12.75">
      <c r="A254" s="150"/>
      <c r="B254" s="151"/>
      <c r="C254" s="151"/>
      <c r="D254" s="151"/>
      <c r="E254" s="151"/>
    </row>
    <row r="255" spans="1:5" ht="12.75">
      <c r="A255" s="150"/>
      <c r="B255" s="151"/>
      <c r="C255" s="151"/>
      <c r="D255" s="151"/>
      <c r="E255" s="1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4.25">
      <c r="A2" s="42"/>
      <c r="B2" s="154" t="s">
        <v>27</v>
      </c>
      <c r="C2" s="154"/>
      <c r="D2" s="44" t="s">
        <v>30</v>
      </c>
      <c r="E2" s="154" t="s">
        <v>92</v>
      </c>
      <c r="F2" s="154"/>
      <c r="G2" s="154"/>
      <c r="H2" s="154"/>
      <c r="I2" s="45"/>
      <c r="J2" s="154" t="s">
        <v>70</v>
      </c>
      <c r="K2" s="154"/>
      <c r="L2" s="154"/>
      <c r="M2" s="154"/>
      <c r="N2" s="42"/>
    </row>
    <row r="3" spans="1:14" ht="14.25">
      <c r="A3" s="42" t="s">
        <v>84</v>
      </c>
      <c r="B3" s="44" t="s">
        <v>28</v>
      </c>
      <c r="C3" s="42" t="s">
        <v>29</v>
      </c>
      <c r="D3" s="44"/>
      <c r="E3" s="46" t="s">
        <v>8</v>
      </c>
      <c r="F3" s="46"/>
      <c r="G3" s="46"/>
      <c r="H3" s="46"/>
      <c r="I3" s="46"/>
      <c r="J3" s="44" t="s">
        <v>72</v>
      </c>
      <c r="K3" s="46" t="s">
        <v>101</v>
      </c>
      <c r="L3" s="46"/>
      <c r="M3" s="46"/>
      <c r="N3" s="46" t="s">
        <v>6</v>
      </c>
    </row>
    <row r="4" spans="1:14" ht="14.25">
      <c r="A4" s="47" t="s">
        <v>88</v>
      </c>
      <c r="B4" s="48"/>
      <c r="C4" s="48"/>
      <c r="D4" s="48"/>
      <c r="E4" s="49" t="s">
        <v>7</v>
      </c>
      <c r="F4" s="49" t="s">
        <v>1</v>
      </c>
      <c r="G4" s="50" t="s">
        <v>2</v>
      </c>
      <c r="H4" s="51" t="s">
        <v>3</v>
      </c>
      <c r="I4" s="50"/>
      <c r="J4" s="50"/>
      <c r="K4" s="50" t="s">
        <v>5</v>
      </c>
      <c r="L4" s="51" t="s">
        <v>4</v>
      </c>
      <c r="M4" s="49" t="s">
        <v>3</v>
      </c>
      <c r="N4" s="50" t="s">
        <v>7</v>
      </c>
    </row>
    <row r="5" spans="1:14" ht="14.25">
      <c r="A5" s="42"/>
      <c r="B5" s="152" t="s">
        <v>93</v>
      </c>
      <c r="C5" s="153"/>
      <c r="D5" s="52" t="s">
        <v>75</v>
      </c>
      <c r="E5" s="152" t="s">
        <v>95</v>
      </c>
      <c r="F5" s="152"/>
      <c r="G5" s="152"/>
      <c r="H5" s="152"/>
      <c r="I5" s="152"/>
      <c r="J5" s="152"/>
      <c r="K5" s="152"/>
      <c r="L5" s="152"/>
      <c r="M5" s="152"/>
      <c r="N5" s="152"/>
    </row>
    <row r="6" spans="1:14" ht="16.5">
      <c r="A6" s="42" t="s">
        <v>128</v>
      </c>
      <c r="B6" s="53">
        <v>83.433</v>
      </c>
      <c r="C6" s="53">
        <v>82.696</v>
      </c>
      <c r="D6" s="53">
        <f>+F6/C6</f>
        <v>51.9503482635194</v>
      </c>
      <c r="E6" s="54">
        <v>196.729</v>
      </c>
      <c r="F6" s="55">
        <f>F15</f>
        <v>4296.086</v>
      </c>
      <c r="G6" s="56">
        <f>G28</f>
        <v>22.280875923872998</v>
      </c>
      <c r="H6" s="56">
        <f>SUM(E6:G6)</f>
        <v>4515.095875923874</v>
      </c>
      <c r="I6" s="42"/>
      <c r="J6" s="55">
        <f>J28</f>
        <v>1901.1980666666668</v>
      </c>
      <c r="K6" s="55">
        <f>M6-J6-L6</f>
        <v>145.88582285110306</v>
      </c>
      <c r="L6" s="56">
        <f>L28</f>
        <v>2166.4169864061037</v>
      </c>
      <c r="M6" s="56">
        <f>+H6-N6</f>
        <v>4213.5008759238735</v>
      </c>
      <c r="N6" s="56">
        <f>N27</f>
        <v>301.595</v>
      </c>
    </row>
    <row r="7" spans="1:14" ht="16.5">
      <c r="A7" s="42" t="s">
        <v>129</v>
      </c>
      <c r="B7" s="53">
        <v>90.142</v>
      </c>
      <c r="C7" s="53">
        <v>89.522</v>
      </c>
      <c r="D7" s="53">
        <f>+F7/C7</f>
        <v>49.0555729317933</v>
      </c>
      <c r="E7" s="54">
        <f>N6</f>
        <v>301.595</v>
      </c>
      <c r="F7" s="55">
        <f>F34</f>
        <v>4391.553</v>
      </c>
      <c r="G7" s="56">
        <v>22</v>
      </c>
      <c r="H7" s="56">
        <f>SUM(E7:G7)</f>
        <v>4715.148</v>
      </c>
      <c r="I7" s="42"/>
      <c r="J7" s="55">
        <v>2055</v>
      </c>
      <c r="K7" s="55">
        <f>M7-J7-L7</f>
        <v>135.14800000000014</v>
      </c>
      <c r="L7" s="56">
        <v>2130</v>
      </c>
      <c r="M7" s="56">
        <f>+H7-N7</f>
        <v>4320.148</v>
      </c>
      <c r="N7" s="56">
        <v>395</v>
      </c>
    </row>
    <row r="8" spans="1:14" ht="16.5">
      <c r="A8" s="42" t="s">
        <v>170</v>
      </c>
      <c r="B8" s="53">
        <v>89.557</v>
      </c>
      <c r="C8" s="53">
        <v>88.862</v>
      </c>
      <c r="D8" s="53">
        <f>+F8/C8</f>
        <v>52.813744907834625</v>
      </c>
      <c r="E8" s="54">
        <f>N7</f>
        <v>395</v>
      </c>
      <c r="F8" s="55">
        <v>4693.135</v>
      </c>
      <c r="G8" s="56">
        <v>25</v>
      </c>
      <c r="H8" s="56">
        <f>SUM(E8:G8)</f>
        <v>5113.135</v>
      </c>
      <c r="I8" s="42"/>
      <c r="J8" s="55">
        <v>2070</v>
      </c>
      <c r="K8" s="55">
        <f>M8-J8-L8</f>
        <v>138.13500000000022</v>
      </c>
      <c r="L8" s="56">
        <v>2060</v>
      </c>
      <c r="M8" s="56">
        <f>+H8-N8</f>
        <v>4268.135</v>
      </c>
      <c r="N8" s="56">
        <v>845</v>
      </c>
    </row>
    <row r="9" spans="1:14" ht="14.25">
      <c r="A9" s="45"/>
      <c r="B9" s="45"/>
      <c r="C9" s="45"/>
      <c r="D9" s="45"/>
      <c r="E9" s="58"/>
      <c r="F9" s="58"/>
      <c r="G9" s="59"/>
      <c r="H9" s="58"/>
      <c r="I9" s="58"/>
      <c r="J9" s="59"/>
      <c r="K9" s="59"/>
      <c r="L9" s="59"/>
      <c r="M9" s="59"/>
      <c r="N9" s="60"/>
    </row>
    <row r="10" spans="1:14" ht="14.25">
      <c r="A10" s="45" t="s">
        <v>74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89"/>
    </row>
    <row r="11" spans="1:14" ht="18.75" customHeight="1">
      <c r="A11" s="42" t="s">
        <v>120</v>
      </c>
      <c r="B11" s="45"/>
      <c r="C11" s="45"/>
      <c r="D11" s="45"/>
      <c r="E11" s="60"/>
      <c r="F11" s="62"/>
      <c r="G11" s="63"/>
      <c r="H11" s="64"/>
      <c r="I11" s="64"/>
      <c r="J11" s="64"/>
      <c r="K11" s="65"/>
      <c r="L11" s="63"/>
      <c r="M11" s="62"/>
      <c r="N11" s="66"/>
    </row>
    <row r="12" spans="1:14" ht="18.75" customHeight="1">
      <c r="A12" s="45" t="s">
        <v>105</v>
      </c>
      <c r="B12" s="45"/>
      <c r="C12" s="45"/>
      <c r="D12" s="45"/>
      <c r="E12" s="60"/>
      <c r="F12" s="62"/>
      <c r="G12" s="63">
        <f>(12.486284+44.365888+5.969151)*2.204622/60</f>
        <v>2.3082878459151</v>
      </c>
      <c r="H12" s="64"/>
      <c r="I12" s="64"/>
      <c r="J12" s="64">
        <f>4.148008*2000/60</f>
        <v>138.26693333333333</v>
      </c>
      <c r="K12" s="65"/>
      <c r="L12" s="63">
        <f>(34.073378+3714.618)*2.204622/60</f>
        <v>137.74079138581862</v>
      </c>
      <c r="M12" s="62"/>
      <c r="N12" s="66"/>
    </row>
    <row r="13" spans="1:14" ht="18.75" customHeight="1">
      <c r="A13" s="45" t="s">
        <v>111</v>
      </c>
      <c r="B13" s="45"/>
      <c r="C13" s="45"/>
      <c r="D13" s="45"/>
      <c r="E13" s="60"/>
      <c r="F13" s="62"/>
      <c r="G13" s="63">
        <f>(14.361127+29.41625+4.478324)*2.204622/60</f>
        <v>1.7730930008337003</v>
      </c>
      <c r="H13" s="64"/>
      <c r="I13" s="64"/>
      <c r="J13" s="64">
        <f>5.276415*2000/60</f>
        <v>175.8805</v>
      </c>
      <c r="K13" s="65"/>
      <c r="L13" s="63">
        <f>(69.837116+11099.403)*2.204622/60</f>
        <v>410.39920805026924</v>
      </c>
      <c r="M13" s="62"/>
      <c r="N13" s="66"/>
    </row>
    <row r="14" spans="1:14" ht="18.75" customHeight="1">
      <c r="A14" s="45" t="s">
        <v>113</v>
      </c>
      <c r="B14" s="45"/>
      <c r="C14" s="45"/>
      <c r="D14" s="45"/>
      <c r="E14" s="60"/>
      <c r="F14" s="62"/>
      <c r="G14" s="63">
        <f>(6.407137+26.146455+5.06881)*2.204622/60</f>
        <v>1.3823862523674002</v>
      </c>
      <c r="H14" s="64"/>
      <c r="I14" s="64"/>
      <c r="J14" s="64">
        <f>5.122038*2000/60</f>
        <v>170.73459999999997</v>
      </c>
      <c r="K14" s="65"/>
      <c r="L14" s="63">
        <f>(56.047981+10306.728)*2.204622/60</f>
        <v>380.76673181306967</v>
      </c>
      <c r="M14" s="62"/>
      <c r="N14" s="66"/>
    </row>
    <row r="15" spans="1:14" ht="18.75" customHeight="1">
      <c r="A15" s="42" t="s">
        <v>80</v>
      </c>
      <c r="B15" s="45"/>
      <c r="C15" s="45"/>
      <c r="D15" s="45"/>
      <c r="E15" s="60">
        <v>196.729</v>
      </c>
      <c r="F15" s="67">
        <v>4296.086</v>
      </c>
      <c r="G15" s="63">
        <f>G12+G13+G14</f>
        <v>5.4637670991162</v>
      </c>
      <c r="H15" s="64">
        <f>SUM(E15:G15)</f>
        <v>4498.2787670991165</v>
      </c>
      <c r="I15" s="64"/>
      <c r="J15" s="64">
        <f>J12+J13+J14</f>
        <v>484.8820333333333</v>
      </c>
      <c r="K15" s="68">
        <f>M15-L15-J15</f>
        <v>185.43400251662558</v>
      </c>
      <c r="L15" s="63">
        <f>L12+L13+L14</f>
        <v>928.9067312491576</v>
      </c>
      <c r="M15" s="63">
        <f>H15-N15</f>
        <v>1599.2227670991165</v>
      </c>
      <c r="N15" s="64">
        <v>2899.056</v>
      </c>
    </row>
    <row r="16" spans="1:14" ht="18.75" customHeight="1">
      <c r="A16" s="42" t="s">
        <v>114</v>
      </c>
      <c r="B16" s="45"/>
      <c r="C16" s="45"/>
      <c r="D16" s="45"/>
      <c r="E16" s="60"/>
      <c r="F16" s="62"/>
      <c r="G16" s="63">
        <f>(4.172442+23.85058+3.852958)*2.204622/60</f>
        <v>1.1712414463260001</v>
      </c>
      <c r="H16" s="64"/>
      <c r="I16" s="64"/>
      <c r="J16" s="64">
        <f>5.071493*2000/60</f>
        <v>169.04976666666667</v>
      </c>
      <c r="K16" s="63"/>
      <c r="L16" s="63">
        <f>(40.570246+7939.352)*2.204622/60</f>
        <v>293.2118690303502</v>
      </c>
      <c r="M16" s="62"/>
      <c r="N16" s="66"/>
    </row>
    <row r="17" spans="1:14" ht="18.75" customHeight="1">
      <c r="A17" s="42" t="s">
        <v>115</v>
      </c>
      <c r="B17" s="45"/>
      <c r="C17" s="45"/>
      <c r="D17" s="45"/>
      <c r="E17" s="60"/>
      <c r="F17" s="62"/>
      <c r="G17" s="63">
        <f>(9.075178+55.349193+23.018569)*2.204622/60</f>
        <v>3.2129771544779997</v>
      </c>
      <c r="H17" s="64"/>
      <c r="I17" s="64"/>
      <c r="J17" s="64">
        <f>5.139706*2000/60</f>
        <v>171.32353333333333</v>
      </c>
      <c r="K17" s="63"/>
      <c r="L17" s="63">
        <f>(56.504787+6959.433)*2.204622/60</f>
        <v>257.7915132641919</v>
      </c>
      <c r="M17" s="62"/>
      <c r="N17" s="66"/>
    </row>
    <row r="18" spans="1:14" ht="18.75" customHeight="1">
      <c r="A18" s="42" t="s">
        <v>116</v>
      </c>
      <c r="B18" s="45"/>
      <c r="C18" s="45"/>
      <c r="D18" s="45"/>
      <c r="E18" s="60"/>
      <c r="F18" s="62"/>
      <c r="G18" s="63">
        <f>(12.795861+41.99596+6.673116)*2.204622/60</f>
        <v>2.2584492056469</v>
      </c>
      <c r="H18" s="64"/>
      <c r="I18" s="64"/>
      <c r="J18" s="64">
        <f>4.542336*2000/60</f>
        <v>151.41119999999998</v>
      </c>
      <c r="K18" s="63"/>
      <c r="L18" s="63">
        <f>(49.244032+4410.279)*2.204622/60</f>
        <v>163.8593764308984</v>
      </c>
      <c r="M18" s="62"/>
      <c r="N18" s="66"/>
    </row>
    <row r="19" spans="1:14" ht="18.75" customHeight="1">
      <c r="A19" s="42" t="s">
        <v>81</v>
      </c>
      <c r="B19" s="45"/>
      <c r="C19" s="45"/>
      <c r="D19" s="45"/>
      <c r="E19" s="60">
        <f>N15</f>
        <v>2899.056</v>
      </c>
      <c r="F19" s="67"/>
      <c r="G19" s="63">
        <f>SUM(G16:G18)</f>
        <v>6.6426678064509</v>
      </c>
      <c r="H19" s="64">
        <f>E19+F19+G19</f>
        <v>2905.698667806451</v>
      </c>
      <c r="I19" s="64"/>
      <c r="J19" s="64">
        <f>SUM(J16:J18)</f>
        <v>491.7845</v>
      </c>
      <c r="K19" s="68">
        <f>M19-L19-J19</f>
        <v>-39.88159091898956</v>
      </c>
      <c r="L19" s="63">
        <f>SUM(L16:L18)</f>
        <v>714.8627587254405</v>
      </c>
      <c r="M19" s="63">
        <f>H19-N19</f>
        <v>1166.765667806451</v>
      </c>
      <c r="N19" s="64">
        <v>1738.933</v>
      </c>
    </row>
    <row r="20" spans="1:14" ht="18.75" customHeight="1">
      <c r="A20" s="42" t="s">
        <v>117</v>
      </c>
      <c r="B20" s="45"/>
      <c r="C20" s="45"/>
      <c r="D20" s="45"/>
      <c r="E20" s="60"/>
      <c r="F20" s="67"/>
      <c r="G20" s="63">
        <f>(12.802702+24.710424+22.918814)*2.204622/60</f>
        <v>2.220493073778</v>
      </c>
      <c r="H20" s="64"/>
      <c r="I20" s="64"/>
      <c r="J20" s="64">
        <f>4.822961*2000/60</f>
        <v>160.76536666666667</v>
      </c>
      <c r="K20" s="68"/>
      <c r="L20" s="63">
        <f>(69.313126+3150.252)*2.204622/60</f>
        <v>118.2987351202062</v>
      </c>
      <c r="M20" s="63"/>
      <c r="N20" s="64"/>
    </row>
    <row r="21" spans="1:14" ht="18.75" customHeight="1">
      <c r="A21" s="42" t="s">
        <v>118</v>
      </c>
      <c r="B21" s="45"/>
      <c r="C21" s="45"/>
      <c r="D21" s="45"/>
      <c r="E21" s="60"/>
      <c r="F21" s="67"/>
      <c r="G21" s="63">
        <f>(8.608414+28.921838+6.119378)*2.204622/60</f>
        <v>1.6038489098310003</v>
      </c>
      <c r="H21" s="64"/>
      <c r="I21" s="64"/>
      <c r="J21" s="64">
        <f>4.509463*2000/60</f>
        <v>150.31543333333335</v>
      </c>
      <c r="K21" s="68"/>
      <c r="L21" s="63">
        <f>(63.656221+2395.058)*2.204622/60</f>
        <v>90.34225772215771</v>
      </c>
      <c r="M21" s="63"/>
      <c r="N21" s="64"/>
    </row>
    <row r="22" spans="1:14" ht="18.75" customHeight="1">
      <c r="A22" s="42" t="s">
        <v>119</v>
      </c>
      <c r="B22" s="45"/>
      <c r="C22" s="45"/>
      <c r="D22" s="45"/>
      <c r="E22" s="60"/>
      <c r="F22" s="67"/>
      <c r="G22" s="63">
        <f>(8.842215+42.463786+6.529771)*2.204622/60</f>
        <v>2.1251002556364</v>
      </c>
      <c r="H22" s="64"/>
      <c r="I22" s="64"/>
      <c r="J22" s="64">
        <f>4.739387*2000/60</f>
        <v>157.97956666666667</v>
      </c>
      <c r="K22" s="68"/>
      <c r="L22" s="63">
        <f>(49.304396+1401.625)*2.204622/60</f>
        <v>53.312514447805206</v>
      </c>
      <c r="M22" s="63"/>
      <c r="N22" s="64"/>
    </row>
    <row r="23" spans="1:14" ht="18.75" customHeight="1">
      <c r="A23" s="42" t="s">
        <v>82</v>
      </c>
      <c r="B23" s="45"/>
      <c r="C23" s="45"/>
      <c r="D23" s="45"/>
      <c r="E23" s="60">
        <f>N19</f>
        <v>1738.933</v>
      </c>
      <c r="F23" s="67"/>
      <c r="G23" s="63">
        <f>SUM(G20:G22)</f>
        <v>5.9494422392454</v>
      </c>
      <c r="H23" s="64">
        <f>E23+F23+G23</f>
        <v>1744.8824422392454</v>
      </c>
      <c r="I23" s="64"/>
      <c r="J23" s="64">
        <f>SUM(J20:J22)</f>
        <v>469.0603666666667</v>
      </c>
      <c r="K23" s="68">
        <f>M23-L23-J23</f>
        <v>48.012568282409575</v>
      </c>
      <c r="L23" s="63">
        <f>SUM(L20:L22)</f>
        <v>261.9535072901691</v>
      </c>
      <c r="M23" s="63">
        <f>H23-N23</f>
        <v>779.0264422392454</v>
      </c>
      <c r="N23" s="64">
        <v>965.856</v>
      </c>
    </row>
    <row r="24" spans="1:14" ht="18.75" customHeight="1">
      <c r="A24" s="42" t="s">
        <v>66</v>
      </c>
      <c r="B24" s="45"/>
      <c r="C24" s="45"/>
      <c r="D24" s="45"/>
      <c r="E24" s="60"/>
      <c r="F24" s="67"/>
      <c r="G24" s="63">
        <f>(4.988414+15.473351+8.217032)*2.204622/60</f>
        <v>1.0537651133288999</v>
      </c>
      <c r="H24" s="64"/>
      <c r="I24" s="64"/>
      <c r="J24" s="64">
        <f>4.446863*2000/60</f>
        <v>148.22876666666664</v>
      </c>
      <c r="K24" s="68"/>
      <c r="L24" s="63">
        <f>(44.986986+1741.271)*2.204622/60</f>
        <v>65.6337275601882</v>
      </c>
      <c r="M24" s="63"/>
      <c r="N24" s="64"/>
    </row>
    <row r="25" spans="1:14" ht="18.75" customHeight="1">
      <c r="A25" s="42" t="s">
        <v>104</v>
      </c>
      <c r="B25" s="45"/>
      <c r="C25" s="45"/>
      <c r="D25" s="45"/>
      <c r="E25" s="60"/>
      <c r="F25" s="67"/>
      <c r="G25" s="63">
        <f>(3.509596+37.139523+6.116156)*2.204622/60</f>
        <v>1.7183292350175001</v>
      </c>
      <c r="H25" s="64"/>
      <c r="I25" s="64"/>
      <c r="J25" s="64">
        <f>4.66868*2000/60</f>
        <v>155.62266666666667</v>
      </c>
      <c r="K25" s="68"/>
      <c r="L25" s="63">
        <f>(28.793709+2289.719)*2.204622/60</f>
        <v>85.1907354256833</v>
      </c>
      <c r="M25" s="63"/>
      <c r="N25" s="64"/>
    </row>
    <row r="26" spans="1:14" ht="18.75" customHeight="1">
      <c r="A26" s="42" t="s">
        <v>69</v>
      </c>
      <c r="B26" s="45"/>
      <c r="C26" s="45"/>
      <c r="D26" s="45"/>
      <c r="E26" s="60"/>
      <c r="F26" s="67"/>
      <c r="G26" s="63">
        <f>(3.239739+29.130588+7.171266)*2.204622/60</f>
        <v>1.4529044307141001</v>
      </c>
      <c r="H26" s="64"/>
      <c r="I26" s="64"/>
      <c r="J26" s="64">
        <f>4.548592*2000/60</f>
        <v>151.61973333333336</v>
      </c>
      <c r="K26" s="68"/>
      <c r="L26" s="63">
        <f>(42.412569+2947.747)*2.204622/60</f>
        <v>109.86952615546531</v>
      </c>
      <c r="M26" s="63"/>
      <c r="N26" s="64"/>
    </row>
    <row r="27" spans="1:14" ht="18.75" customHeight="1">
      <c r="A27" s="69" t="s">
        <v>83</v>
      </c>
      <c r="B27" s="45"/>
      <c r="C27" s="45"/>
      <c r="D27" s="45"/>
      <c r="E27" s="60">
        <f>N23</f>
        <v>965.856</v>
      </c>
      <c r="F27" s="67"/>
      <c r="G27" s="63">
        <f>SUM(G24:G26)</f>
        <v>4.2249987790605</v>
      </c>
      <c r="H27" s="64">
        <f>SUM(E27:G27)</f>
        <v>970.0809987790605</v>
      </c>
      <c r="I27" s="64"/>
      <c r="J27" s="64">
        <f>SUM(J24:J26)</f>
        <v>455.4711666666667</v>
      </c>
      <c r="K27" s="68">
        <f>M27-L27-J27</f>
        <v>-47.67915702894311</v>
      </c>
      <c r="L27" s="63">
        <f>SUM(L24:L26)</f>
        <v>260.69398914133683</v>
      </c>
      <c r="M27" s="63">
        <f>+H27-N27</f>
        <v>668.4859987790604</v>
      </c>
      <c r="N27" s="64">
        <v>301.595</v>
      </c>
    </row>
    <row r="28" spans="1:14" ht="18.75" customHeight="1">
      <c r="A28" s="42" t="s">
        <v>3</v>
      </c>
      <c r="B28" s="45"/>
      <c r="C28" s="45"/>
      <c r="D28" s="45"/>
      <c r="E28" s="60"/>
      <c r="F28" s="67">
        <f>F15+F19+F23+F27</f>
        <v>4296.086</v>
      </c>
      <c r="G28" s="63">
        <f>G15+G19+G23+G27</f>
        <v>22.280875923872998</v>
      </c>
      <c r="H28" s="64">
        <f>E15+F28+G28</f>
        <v>4515.095875923874</v>
      </c>
      <c r="I28" s="64"/>
      <c r="J28" s="64">
        <f>J15+J19+J23+J27</f>
        <v>1901.1980666666668</v>
      </c>
      <c r="K28" s="68">
        <f>K15+K19+K23+K27</f>
        <v>145.8858228511025</v>
      </c>
      <c r="L28" s="63">
        <f>L15+L19+L23+L27</f>
        <v>2166.4169864061037</v>
      </c>
      <c r="M28" s="63">
        <f>M15+M19+M23+M27</f>
        <v>4213.5008759238735</v>
      </c>
      <c r="N28" s="64"/>
    </row>
    <row r="29" spans="1:14" ht="18.75" customHeight="1">
      <c r="A29" s="45"/>
      <c r="B29" s="45"/>
      <c r="C29" s="45"/>
      <c r="D29" s="45"/>
      <c r="E29" s="60"/>
      <c r="F29" s="62"/>
      <c r="G29" s="63"/>
      <c r="H29" s="64"/>
      <c r="I29" s="64"/>
      <c r="J29" s="64"/>
      <c r="K29" s="65"/>
      <c r="L29" s="63"/>
      <c r="M29" s="63"/>
      <c r="N29" s="66"/>
    </row>
    <row r="30" spans="1:14" ht="18.75" customHeight="1">
      <c r="A30" s="42" t="s">
        <v>123</v>
      </c>
      <c r="B30" s="45"/>
      <c r="C30" s="45"/>
      <c r="D30" s="45"/>
      <c r="E30" s="60"/>
      <c r="F30" s="62"/>
      <c r="G30" s="63"/>
      <c r="H30" s="64"/>
      <c r="I30" s="64"/>
      <c r="J30" s="64"/>
      <c r="K30" s="65"/>
      <c r="L30" s="63"/>
      <c r="M30" s="63"/>
      <c r="N30" s="66"/>
    </row>
    <row r="31" spans="1:14" ht="18.75" customHeight="1">
      <c r="A31" s="42" t="s">
        <v>105</v>
      </c>
      <c r="B31" s="45"/>
      <c r="C31" s="45"/>
      <c r="D31" s="45"/>
      <c r="E31" s="60"/>
      <c r="F31" s="67"/>
      <c r="G31" s="63">
        <f>(1.397845+28.520061+6.869446)*2.204622/60</f>
        <v>1.3517034256823999</v>
      </c>
      <c r="H31" s="64"/>
      <c r="I31" s="64"/>
      <c r="J31" s="64">
        <f>4.361207*2000/60</f>
        <v>145.37356666666668</v>
      </c>
      <c r="K31" s="68"/>
      <c r="L31" s="63">
        <f>(42.579358+4422.864)*2.204622/60</f>
        <v>164.07691111334458</v>
      </c>
      <c r="M31" s="63"/>
      <c r="N31" s="64"/>
    </row>
    <row r="32" spans="1:14" ht="18.75" customHeight="1">
      <c r="A32" s="45" t="s">
        <v>111</v>
      </c>
      <c r="B32" s="45"/>
      <c r="C32" s="45"/>
      <c r="D32" s="45"/>
      <c r="E32" s="60"/>
      <c r="F32" s="62"/>
      <c r="G32" s="63">
        <f>(4.792131+65.902561+6.64419)*2.204622/60</f>
        <v>2.8417166785434</v>
      </c>
      <c r="H32" s="64"/>
      <c r="I32" s="64"/>
      <c r="J32" s="64">
        <f>5.277397*2000/60</f>
        <v>175.91323333333332</v>
      </c>
      <c r="K32" s="65"/>
      <c r="L32" s="63">
        <f>(65.402074+9580.077)*2.204622/60</f>
        <v>354.4105894513338</v>
      </c>
      <c r="M32" s="62"/>
      <c r="N32" s="66"/>
    </row>
    <row r="33" spans="1:14" ht="18.75" customHeight="1">
      <c r="A33" s="45" t="s">
        <v>113</v>
      </c>
      <c r="B33" s="45"/>
      <c r="C33" s="45"/>
      <c r="D33" s="45"/>
      <c r="E33" s="60"/>
      <c r="F33" s="62"/>
      <c r="G33" s="63">
        <f>(14.834995+18.210518+5.828672)*2.204622/60</f>
        <v>1.4283813913845</v>
      </c>
      <c r="H33" s="64"/>
      <c r="I33" s="64"/>
      <c r="J33" s="64">
        <f>5.200462*2000/60</f>
        <v>173.3487333333333</v>
      </c>
      <c r="K33" s="65"/>
      <c r="L33" s="63">
        <f>(75.780013+9113.39)*2.204622/60</f>
        <v>337.6441062066681</v>
      </c>
      <c r="M33" s="62"/>
      <c r="N33" s="66"/>
    </row>
    <row r="34" spans="1:14" ht="18.75" customHeight="1">
      <c r="A34" s="45" t="s">
        <v>80</v>
      </c>
      <c r="B34" s="45"/>
      <c r="C34" s="45"/>
      <c r="D34" s="45"/>
      <c r="E34" s="60">
        <f>N27</f>
        <v>301.595</v>
      </c>
      <c r="F34" s="62">
        <f>4391.553</f>
        <v>4391.553</v>
      </c>
      <c r="G34" s="63">
        <f>G31+G32+G33</f>
        <v>5.6218014956103</v>
      </c>
      <c r="H34" s="64">
        <f>SUM(E34:G34)</f>
        <v>4698.76980149561</v>
      </c>
      <c r="I34" s="64"/>
      <c r="J34" s="64">
        <f>J31+J32+J33</f>
        <v>494.6355333333333</v>
      </c>
      <c r="K34" s="65">
        <f>M34-L34-J34</f>
        <v>187.32366139093057</v>
      </c>
      <c r="L34" s="63">
        <f>L31+L32+L33</f>
        <v>856.1316067713465</v>
      </c>
      <c r="M34" s="63">
        <f>H34-N34</f>
        <v>1538.0908014956103</v>
      </c>
      <c r="N34" s="64">
        <v>3160.679</v>
      </c>
    </row>
    <row r="35" spans="1:14" ht="18.75" customHeight="1">
      <c r="A35" s="42" t="s">
        <v>114</v>
      </c>
      <c r="B35" s="45"/>
      <c r="C35" s="45"/>
      <c r="D35" s="45"/>
      <c r="E35" s="60"/>
      <c r="F35" s="62"/>
      <c r="G35" s="63">
        <f>(2.700212+43.931585+16.786283)*2.204622/60</f>
        <v>2.3302149060960002</v>
      </c>
      <c r="H35" s="64"/>
      <c r="I35" s="64"/>
      <c r="J35" s="64">
        <f>5.290215*2000/60</f>
        <v>176.3405</v>
      </c>
      <c r="K35" s="65"/>
      <c r="L35" s="63">
        <f>(67.748059+6154.493)*2.204622/60</f>
        <v>228.6281587995783</v>
      </c>
      <c r="M35" s="63"/>
      <c r="N35" s="66"/>
    </row>
    <row r="36" spans="1:14" ht="18.75" customHeight="1">
      <c r="A36" s="42" t="s">
        <v>115</v>
      </c>
      <c r="B36" s="45"/>
      <c r="C36" s="45"/>
      <c r="D36" s="45"/>
      <c r="E36" s="60"/>
      <c r="F36" s="62"/>
      <c r="G36" s="63">
        <f>(1.972522+31.466905+6.367872)*2.204622/60</f>
        <v>1.4626674522663</v>
      </c>
      <c r="H36" s="64"/>
      <c r="I36" s="64"/>
      <c r="J36" s="64">
        <f>5.239827*2000/60</f>
        <v>174.6609</v>
      </c>
      <c r="K36" s="63"/>
      <c r="L36" s="63">
        <f>(51.851798+5711.005)*2.204622/60</f>
        <v>211.7486813286726</v>
      </c>
      <c r="M36" s="62"/>
      <c r="N36" s="66"/>
    </row>
    <row r="37" spans="1:14" ht="18.75" customHeight="1">
      <c r="A37" s="42" t="s">
        <v>116</v>
      </c>
      <c r="B37" s="45"/>
      <c r="C37" s="45"/>
      <c r="D37" s="45"/>
      <c r="E37" s="60"/>
      <c r="F37" s="62"/>
      <c r="G37" s="63">
        <f>(2.319904+15.767762+14.02578)*2.204622/60</f>
        <v>1.1799668257901998</v>
      </c>
      <c r="H37" s="64"/>
      <c r="I37" s="64"/>
      <c r="J37" s="64">
        <f>4.948772*2000/60</f>
        <v>164.95906666666667</v>
      </c>
      <c r="K37" s="63"/>
      <c r="L37" s="63">
        <f>(68.682966+4144.142)*2.204622/60</f>
        <v>154.7947767032142</v>
      </c>
      <c r="M37" s="62"/>
      <c r="N37" s="66"/>
    </row>
    <row r="38" spans="1:14" ht="18.75" customHeight="1">
      <c r="A38" s="42" t="s">
        <v>81</v>
      </c>
      <c r="B38" s="45"/>
      <c r="C38" s="45"/>
      <c r="D38" s="45"/>
      <c r="E38" s="60">
        <f>N34</f>
        <v>3160.679</v>
      </c>
      <c r="F38" s="67"/>
      <c r="G38" s="63">
        <f>SUM(G35:G37)</f>
        <v>4.9728491841525</v>
      </c>
      <c r="H38" s="64">
        <f>E38+F38+G38</f>
        <v>3165.6518491841525</v>
      </c>
      <c r="I38" s="64"/>
      <c r="J38" s="64">
        <f>SUM(J35:J37)</f>
        <v>515.9604666666667</v>
      </c>
      <c r="K38" s="68">
        <f>M38-L38-J38</f>
        <v>-54.783234313979165</v>
      </c>
      <c r="L38" s="63">
        <f>SUM(L35:L37)</f>
        <v>595.1716168314651</v>
      </c>
      <c r="M38" s="63">
        <f>H38-N38</f>
        <v>1056.3488491841526</v>
      </c>
      <c r="N38" s="64">
        <v>2109.303</v>
      </c>
    </row>
    <row r="39" spans="1:14" ht="18.75" customHeight="1">
      <c r="A39" s="42" t="s">
        <v>117</v>
      </c>
      <c r="B39" s="45"/>
      <c r="C39" s="45"/>
      <c r="D39" s="45"/>
      <c r="E39" s="60"/>
      <c r="F39" s="67"/>
      <c r="G39" s="63">
        <f>(15.718589+36.223498+6.168282)*2.204622/60</f>
        <v>2.1351899654252997</v>
      </c>
      <c r="H39" s="64"/>
      <c r="I39" s="64"/>
      <c r="J39" s="64">
        <f>5.46524*2000/60</f>
        <v>182.17466666666667</v>
      </c>
      <c r="K39" s="68"/>
      <c r="L39" s="63">
        <f>(72.280867+3166.287)*2.204622/60</f>
        <v>118.9969661346879</v>
      </c>
      <c r="M39" s="63"/>
      <c r="N39" s="64"/>
    </row>
    <row r="40" spans="1:14" ht="18.75" customHeight="1">
      <c r="A40" s="42" t="s">
        <v>118</v>
      </c>
      <c r="B40" s="45"/>
      <c r="C40" s="45"/>
      <c r="D40" s="45"/>
      <c r="E40" s="60"/>
      <c r="F40" s="67"/>
      <c r="G40" s="63">
        <f>(9.603402+38.602173+17.683985)*2.204622/60</f>
        <v>2.4210262257720006</v>
      </c>
      <c r="H40" s="64"/>
      <c r="I40" s="64"/>
      <c r="J40" s="64">
        <f>5.149147*2000/60</f>
        <v>171.63823333333332</v>
      </c>
      <c r="K40" s="68"/>
      <c r="L40" s="63">
        <f>(56.404038+2110.962)*2.204622/60</f>
        <v>79.6370474904606</v>
      </c>
      <c r="M40" s="63"/>
      <c r="N40" s="64"/>
    </row>
    <row r="41" spans="1:14" ht="18.75" customHeight="1">
      <c r="A41" s="42" t="s">
        <v>119</v>
      </c>
      <c r="B41" s="45"/>
      <c r="C41" s="45"/>
      <c r="D41" s="45"/>
      <c r="E41" s="60"/>
      <c r="F41" s="67"/>
      <c r="G41" s="63">
        <f>(14.93331+18.49162+17.072273)*2.204622/60</f>
        <v>1.8554540778711002</v>
      </c>
      <c r="H41" s="64"/>
      <c r="I41" s="64"/>
      <c r="J41" s="64">
        <f>5.17404*2000/60</f>
        <v>172.468</v>
      </c>
      <c r="K41" s="68"/>
      <c r="L41" s="63">
        <f>(50.72778+2940.067)*2.204622/60</f>
        <v>109.892866157886</v>
      </c>
      <c r="M41" s="63"/>
      <c r="N41" s="64"/>
    </row>
    <row r="42" spans="1:15" ht="18.75" customHeight="1">
      <c r="A42" s="42" t="s">
        <v>82</v>
      </c>
      <c r="B42" s="45"/>
      <c r="C42" s="45"/>
      <c r="D42" s="45"/>
      <c r="E42" s="60">
        <f>N38</f>
        <v>2109.303</v>
      </c>
      <c r="F42" s="67"/>
      <c r="G42" s="63">
        <f>SUM(G39:G41)</f>
        <v>6.4116702690684</v>
      </c>
      <c r="H42" s="64">
        <f>E42+F42+G42</f>
        <v>2115.7146702690684</v>
      </c>
      <c r="I42" s="64"/>
      <c r="J42" s="64">
        <f>SUM(J39:J41)</f>
        <v>526.2809</v>
      </c>
      <c r="K42" s="68">
        <f>M42-L42-J42</f>
        <v>59.40589048603397</v>
      </c>
      <c r="L42" s="63">
        <f>SUM(L39:L41)</f>
        <v>308.5268797830345</v>
      </c>
      <c r="M42" s="63">
        <f>H42-N42</f>
        <v>894.2136702690684</v>
      </c>
      <c r="N42" s="64">
        <v>1221.501</v>
      </c>
      <c r="O42" s="40"/>
    </row>
    <row r="43" spans="1:14" ht="18.75" customHeight="1">
      <c r="A43" s="42" t="s">
        <v>66</v>
      </c>
      <c r="B43" s="45"/>
      <c r="C43" s="45"/>
      <c r="D43" s="45"/>
      <c r="E43" s="60"/>
      <c r="F43" s="67"/>
      <c r="G43" s="63">
        <f>(15.628801+28.563775+7.569622)*2.204622/60</f>
        <v>1.9019346746526002</v>
      </c>
      <c r="H43" s="64"/>
      <c r="I43" s="64"/>
      <c r="J43" s="64">
        <f>5.086941*2000/60</f>
        <v>169.56470000000002</v>
      </c>
      <c r="K43" s="68"/>
      <c r="L43" s="63">
        <f>(51.253059+3204.53)*2.204622/60</f>
        <v>119.62951598497831</v>
      </c>
      <c r="M43" s="63"/>
      <c r="N43" s="64"/>
    </row>
    <row r="44" spans="1:14" ht="18.75" customHeight="1">
      <c r="A44" s="42" t="s">
        <v>68</v>
      </c>
      <c r="B44" s="45"/>
      <c r="C44" s="45"/>
      <c r="D44" s="45"/>
      <c r="E44" s="60"/>
      <c r="F44" s="67"/>
      <c r="G44" s="63">
        <f>(6.402652+44.065496+8.381982)*2.204622/60</f>
        <v>2.1623715216810004</v>
      </c>
      <c r="H44" s="64"/>
      <c r="I44" s="64"/>
      <c r="J44" s="64">
        <f>5.365828*2000/60</f>
        <v>178.86093333333332</v>
      </c>
      <c r="K44" s="68"/>
      <c r="L44" s="63">
        <f>(68.729166+3357.876)*2.204622/60</f>
        <v>125.90615223795422</v>
      </c>
      <c r="M44" s="63"/>
      <c r="N44" s="64"/>
    </row>
    <row r="45" spans="1:14" ht="14.25">
      <c r="A45" s="41" t="s">
        <v>122</v>
      </c>
      <c r="B45" s="41"/>
      <c r="C45" s="41"/>
      <c r="D45" s="41"/>
      <c r="E45" s="70"/>
      <c r="F45" s="71">
        <f>F34+F38+F42</f>
        <v>4391.553</v>
      </c>
      <c r="G45" s="72">
        <f>G34+G38+G42+G43+G44</f>
        <v>21.070627145164803</v>
      </c>
      <c r="H45" s="73">
        <f>E34+F45+G45</f>
        <v>4714.218627145165</v>
      </c>
      <c r="I45" s="73"/>
      <c r="J45" s="73">
        <f>J34+J38+J42+J43+J44</f>
        <v>1885.3025333333335</v>
      </c>
      <c r="K45" s="74">
        <f>K34+K38+K42</f>
        <v>191.94631756298537</v>
      </c>
      <c r="L45" s="72">
        <f>L34+L38+L42+L43+L44</f>
        <v>2005.3657716087787</v>
      </c>
      <c r="M45" s="72">
        <f>M34+M38+M42</f>
        <v>3488.6533209488316</v>
      </c>
      <c r="N45" s="75"/>
    </row>
    <row r="46" spans="1:14" ht="16.5">
      <c r="A46" s="76" t="s">
        <v>130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77"/>
      <c r="M46" s="45"/>
      <c r="N46" s="45"/>
    </row>
    <row r="47" spans="1:14" ht="14.25">
      <c r="A47" s="42" t="s">
        <v>131</v>
      </c>
      <c r="B47" s="42"/>
      <c r="C47" s="42"/>
      <c r="D47" s="42"/>
      <c r="E47" s="78"/>
      <c r="F47" s="78"/>
      <c r="G47" s="78"/>
      <c r="H47" s="78"/>
      <c r="I47" s="78"/>
      <c r="J47" s="78"/>
      <c r="K47" s="78"/>
      <c r="L47" s="78"/>
      <c r="M47" s="78"/>
      <c r="N47" s="78"/>
    </row>
    <row r="48" spans="1:73" ht="14.25">
      <c r="A48" s="79" t="s">
        <v>78</v>
      </c>
      <c r="B48" s="42"/>
      <c r="C48" s="42"/>
      <c r="D48" s="42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:73" ht="14.25">
      <c r="A49" s="42" t="s">
        <v>26</v>
      </c>
      <c r="B49" s="80">
        <f ca="1">NOW()</f>
        <v>43357.319098148146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6:73" ht="12.75">
      <c r="F53" s="15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ht="12.7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4.25">
      <c r="A2" s="42"/>
      <c r="B2" s="154" t="s">
        <v>0</v>
      </c>
      <c r="C2" s="154"/>
      <c r="D2" s="154"/>
      <c r="E2" s="154"/>
      <c r="F2" s="45"/>
      <c r="G2" s="154" t="s">
        <v>24</v>
      </c>
      <c r="H2" s="154"/>
      <c r="I2" s="154"/>
      <c r="J2" s="42"/>
    </row>
    <row r="3" spans="1:10" ht="14.25">
      <c r="A3" s="42" t="s">
        <v>84</v>
      </c>
      <c r="B3" s="44" t="s">
        <v>8</v>
      </c>
      <c r="C3" s="46"/>
      <c r="D3" s="46"/>
      <c r="E3" s="46"/>
      <c r="F3" s="46"/>
      <c r="G3" s="46"/>
      <c r="H3" s="46"/>
      <c r="I3" s="46"/>
      <c r="J3" s="44" t="s">
        <v>34</v>
      </c>
    </row>
    <row r="4" spans="1:10" ht="14.25">
      <c r="A4" s="47" t="s">
        <v>85</v>
      </c>
      <c r="B4" s="49" t="s">
        <v>33</v>
      </c>
      <c r="C4" s="49" t="s">
        <v>1</v>
      </c>
      <c r="D4" s="49" t="s">
        <v>2</v>
      </c>
      <c r="E4" s="51" t="s">
        <v>32</v>
      </c>
      <c r="F4" s="50"/>
      <c r="G4" s="49" t="s">
        <v>35</v>
      </c>
      <c r="H4" s="49" t="s">
        <v>31</v>
      </c>
      <c r="I4" s="49" t="s">
        <v>32</v>
      </c>
      <c r="J4" s="49" t="s">
        <v>97</v>
      </c>
    </row>
    <row r="5" spans="1:10" ht="14.25">
      <c r="A5" s="42"/>
      <c r="B5" s="153" t="s">
        <v>106</v>
      </c>
      <c r="C5" s="153"/>
      <c r="D5" s="153"/>
      <c r="E5" s="153"/>
      <c r="F5" s="153"/>
      <c r="G5" s="153"/>
      <c r="H5" s="153"/>
      <c r="I5" s="153"/>
      <c r="J5" s="153"/>
    </row>
    <row r="6" spans="1:10" ht="16.5">
      <c r="A6" s="42" t="s">
        <v>128</v>
      </c>
      <c r="B6" s="81">
        <v>263.886</v>
      </c>
      <c r="C6" s="82">
        <f>C23</f>
        <v>44787.017</v>
      </c>
      <c r="D6" s="82">
        <f>D23</f>
        <v>349.553099354697</v>
      </c>
      <c r="E6" s="82">
        <f>+B6+C6+D6</f>
        <v>45400.4560993547</v>
      </c>
      <c r="F6" s="82"/>
      <c r="G6" s="82">
        <f>+I6-H6</f>
        <v>33419.538222414194</v>
      </c>
      <c r="H6" s="82">
        <f>H23</f>
        <v>11580.28787694051</v>
      </c>
      <c r="I6" s="82">
        <f>+E6-J6</f>
        <v>44999.8260993547</v>
      </c>
      <c r="J6" s="82">
        <f>J22</f>
        <v>400.63</v>
      </c>
    </row>
    <row r="7" spans="1:10" ht="16.5">
      <c r="A7" s="42" t="s">
        <v>129</v>
      </c>
      <c r="B7" s="81">
        <f>J6</f>
        <v>400.63</v>
      </c>
      <c r="C7" s="82">
        <v>48899</v>
      </c>
      <c r="D7" s="82">
        <v>500</v>
      </c>
      <c r="E7" s="82">
        <f>+B7+C7+D7</f>
        <v>49799.63</v>
      </c>
      <c r="F7" s="82"/>
      <c r="G7" s="82">
        <f>+I7-H7</f>
        <v>34999.63</v>
      </c>
      <c r="H7" s="82">
        <v>14400</v>
      </c>
      <c r="I7" s="82">
        <f>+E7-J7</f>
        <v>49399.63</v>
      </c>
      <c r="J7" s="82">
        <v>400</v>
      </c>
    </row>
    <row r="8" spans="1:10" ht="16.5">
      <c r="A8" s="42" t="s">
        <v>170</v>
      </c>
      <c r="B8" s="81">
        <f>J7</f>
        <v>400</v>
      </c>
      <c r="C8" s="82">
        <v>48950</v>
      </c>
      <c r="D8" s="82">
        <v>350</v>
      </c>
      <c r="E8" s="82">
        <f>+B8+C8+D8</f>
        <v>49700</v>
      </c>
      <c r="F8" s="82"/>
      <c r="G8" s="82">
        <f>+I8-H8</f>
        <v>35800</v>
      </c>
      <c r="H8" s="82">
        <v>13500</v>
      </c>
      <c r="I8" s="82">
        <f>+E8-J8</f>
        <v>49300</v>
      </c>
      <c r="J8" s="82">
        <v>400</v>
      </c>
    </row>
    <row r="9" spans="1:10" ht="14.25">
      <c r="A9" s="42"/>
      <c r="B9" s="83"/>
      <c r="C9" s="83"/>
      <c r="D9" s="83"/>
      <c r="E9" s="83"/>
      <c r="F9" s="83"/>
      <c r="G9" s="83"/>
      <c r="H9" s="83"/>
      <c r="I9" s="83"/>
      <c r="J9" s="83"/>
    </row>
    <row r="10" spans="1:10" ht="14.25">
      <c r="A10" s="42" t="s">
        <v>120</v>
      </c>
      <c r="B10" s="83"/>
      <c r="C10" s="63"/>
      <c r="D10" s="63"/>
      <c r="E10" s="63"/>
      <c r="F10" s="84"/>
      <c r="G10" s="63"/>
      <c r="H10" s="63"/>
      <c r="I10" s="63"/>
      <c r="J10" s="84"/>
    </row>
    <row r="11" spans="1:12" ht="15.75">
      <c r="A11" s="45" t="s">
        <v>58</v>
      </c>
      <c r="B11" s="85">
        <f>233.715+30.171</f>
        <v>263.886</v>
      </c>
      <c r="C11" s="63">
        <f>3830.125+273.917</f>
        <v>4104.042</v>
      </c>
      <c r="D11" s="63">
        <f>(20102.004+3304+507.805)*2.204622/2000</f>
        <v>26.360454712599005</v>
      </c>
      <c r="E11" s="63">
        <f aca="true" t="shared" si="0" ref="E11:E22">SUM(B11:D11)</f>
        <v>4394.2884547126</v>
      </c>
      <c r="F11" s="84"/>
      <c r="G11" s="86">
        <f aca="true" t="shared" si="1" ref="G11:G22">I11-H11</f>
        <v>3084.1154310607744</v>
      </c>
      <c r="H11" s="63">
        <f>((693.141819+2.805+150.046756))*(2.204622/2)</f>
        <v>932.548023651825</v>
      </c>
      <c r="I11" s="84">
        <f aca="true" t="shared" si="2" ref="I11:I17">E11-J11</f>
        <v>4016.6634547125996</v>
      </c>
      <c r="J11" s="63">
        <f>335.413+42.212</f>
        <v>377.625</v>
      </c>
      <c r="K11" s="24"/>
      <c r="L11" s="24"/>
    </row>
    <row r="12" spans="1:12" ht="15.75">
      <c r="A12" s="45" t="s">
        <v>59</v>
      </c>
      <c r="B12" s="85">
        <f aca="true" t="shared" si="3" ref="B12:B17">J11</f>
        <v>377.625</v>
      </c>
      <c r="C12" s="63">
        <f>3739.093+273.414</f>
        <v>4012.5069999999996</v>
      </c>
      <c r="D12" s="63">
        <f>(21497.379+3901+124.943)*2.204622/2000</f>
        <v>28.134638597142</v>
      </c>
      <c r="E12" s="63">
        <f t="shared" si="0"/>
        <v>4418.2666385971415</v>
      </c>
      <c r="F12" s="84"/>
      <c r="G12" s="86">
        <f t="shared" si="1"/>
        <v>2997.7193717545806</v>
      </c>
      <c r="H12" s="63">
        <f>((667.273621+3.395+247.86913))*(2.204622/2)</f>
        <v>1012.5142668425611</v>
      </c>
      <c r="I12" s="84">
        <f t="shared" si="2"/>
        <v>4010.2336385971416</v>
      </c>
      <c r="J12" s="63">
        <f>361.959+46.074</f>
        <v>408.033</v>
      </c>
      <c r="K12" s="24"/>
      <c r="L12" s="24"/>
    </row>
    <row r="13" spans="1:12" ht="15.75">
      <c r="A13" s="45" t="s">
        <v>60</v>
      </c>
      <c r="B13" s="85">
        <f t="shared" si="3"/>
        <v>408.033</v>
      </c>
      <c r="C13" s="63">
        <f>3690.668+273.479</f>
        <v>3964.147</v>
      </c>
      <c r="D13" s="63">
        <f>(19456.672+4259+130.318)*2.204622/2000</f>
        <v>26.285697082889996</v>
      </c>
      <c r="E13" s="63">
        <f t="shared" si="0"/>
        <v>4398.46569708289</v>
      </c>
      <c r="F13" s="84"/>
      <c r="G13" s="86">
        <f t="shared" si="1"/>
        <v>3012.441896297328</v>
      </c>
      <c r="H13" s="63">
        <f>((650.52779+2.548+199.327752))*(2.204622/2)</f>
        <v>939.613800785562</v>
      </c>
      <c r="I13" s="84">
        <f t="shared" si="2"/>
        <v>3952.05569708289</v>
      </c>
      <c r="J13" s="63">
        <f>403.901+42.509</f>
        <v>446.41</v>
      </c>
      <c r="K13" s="24"/>
      <c r="L13" s="24"/>
    </row>
    <row r="14" spans="1:12" ht="15.75">
      <c r="A14" s="45" t="s">
        <v>61</v>
      </c>
      <c r="B14" s="85">
        <f t="shared" si="3"/>
        <v>446.41</v>
      </c>
      <c r="C14" s="63">
        <f>3763.462+261.739</f>
        <v>4025.201</v>
      </c>
      <c r="D14" s="63">
        <f>(28030.503+4355+726.884)*2.204622/2000</f>
        <v>36.500148426357</v>
      </c>
      <c r="E14" s="63">
        <f t="shared" si="0"/>
        <v>4508.1111484263565</v>
      </c>
      <c r="F14" s="84"/>
      <c r="G14" s="86">
        <f t="shared" si="1"/>
        <v>2765.670487608063</v>
      </c>
      <c r="H14" s="63">
        <f>((955.274566+3.027+227.904197))*(2.204622/2)</f>
        <v>1307.5676608182932</v>
      </c>
      <c r="I14" s="84">
        <f t="shared" si="2"/>
        <v>4073.2381484263565</v>
      </c>
      <c r="J14" s="63">
        <f>394.425+40.448</f>
        <v>434.873</v>
      </c>
      <c r="K14" s="24"/>
      <c r="L14" s="24"/>
    </row>
    <row r="15" spans="1:12" ht="15.75">
      <c r="A15" s="45" t="s">
        <v>62</v>
      </c>
      <c r="B15" s="85">
        <f t="shared" si="3"/>
        <v>434.873</v>
      </c>
      <c r="C15" s="63">
        <f>3331.018+228.174</f>
        <v>3559.192</v>
      </c>
      <c r="D15" s="63">
        <f>(28166.336+3893+387.116)*2.204622/2000</f>
        <v>35.766080950572</v>
      </c>
      <c r="E15" s="63">
        <f t="shared" si="0"/>
        <v>4029.831080950572</v>
      </c>
      <c r="F15" s="84"/>
      <c r="G15" s="86">
        <f t="shared" si="1"/>
        <v>2570.499354171158</v>
      </c>
      <c r="H15" s="63">
        <f>((811.830698+11.508+133.305776))*(2.204622/2)</f>
        <v>1054.5197267794142</v>
      </c>
      <c r="I15" s="84">
        <f t="shared" si="2"/>
        <v>3625.019080950572</v>
      </c>
      <c r="J15" s="63">
        <f>372.404+32.408</f>
        <v>404.812</v>
      </c>
      <c r="K15" s="24"/>
      <c r="L15" s="24"/>
    </row>
    <row r="16" spans="1:12" ht="15.75">
      <c r="A16" s="45" t="s">
        <v>63</v>
      </c>
      <c r="B16" s="85">
        <f t="shared" si="3"/>
        <v>404.812</v>
      </c>
      <c r="C16" s="63">
        <f>3528.733+244.932</f>
        <v>3773.665</v>
      </c>
      <c r="D16" s="63">
        <f>(19135.634+3912+533.996)*2.204622/2000</f>
        <v>25.99429014693</v>
      </c>
      <c r="E16" s="63">
        <f t="shared" si="0"/>
        <v>4204.47129014693</v>
      </c>
      <c r="F16" s="84"/>
      <c r="G16" s="86">
        <f t="shared" si="1"/>
        <v>2406.9584856453544</v>
      </c>
      <c r="H16" s="63">
        <f>((1022.929375+3.391+282.778241))*(2.204622/2)</f>
        <v>1443.033804501576</v>
      </c>
      <c r="I16" s="84">
        <f t="shared" si="2"/>
        <v>3849.9922901469304</v>
      </c>
      <c r="J16" s="63">
        <f>318.123+36.356</f>
        <v>354.479</v>
      </c>
      <c r="K16" s="24"/>
      <c r="L16" s="24"/>
    </row>
    <row r="17" spans="1:12" ht="15.75">
      <c r="A17" s="45" t="s">
        <v>64</v>
      </c>
      <c r="B17" s="85">
        <f t="shared" si="3"/>
        <v>354.479</v>
      </c>
      <c r="C17" s="63">
        <f>3300.745+222.754</f>
        <v>3523.499</v>
      </c>
      <c r="D17" s="63">
        <f>(22512.339+3430+234.788)*2.204622/2000</f>
        <v>28.855335040497</v>
      </c>
      <c r="E17" s="63">
        <f t="shared" si="0"/>
        <v>3906.8333350404964</v>
      </c>
      <c r="F17" s="84"/>
      <c r="G17" s="86">
        <f t="shared" si="1"/>
        <v>2566.7881570520294</v>
      </c>
      <c r="H17" s="63">
        <f>((647.334618+15.782+162.344779))*(2.204622/2)</f>
        <v>909.9151779884671</v>
      </c>
      <c r="I17" s="84">
        <f t="shared" si="2"/>
        <v>3476.7033350404963</v>
      </c>
      <c r="J17" s="63">
        <f>387.207+42.923</f>
        <v>430.13</v>
      </c>
      <c r="K17" s="24"/>
      <c r="L17" s="24"/>
    </row>
    <row r="18" spans="1:12" ht="15.75">
      <c r="A18" s="45" t="s">
        <v>65</v>
      </c>
      <c r="B18" s="85">
        <f>J17</f>
        <v>430.13</v>
      </c>
      <c r="C18" s="63">
        <f>3491.318+240.712</f>
        <v>3732.03</v>
      </c>
      <c r="D18" s="63">
        <f>(27160.809+4201+551.493)*2.204622/2000</f>
        <v>35.178383840922</v>
      </c>
      <c r="E18" s="63">
        <f t="shared" si="0"/>
        <v>4197.338383840922</v>
      </c>
      <c r="F18" s="84"/>
      <c r="G18" s="86">
        <f t="shared" si="1"/>
        <v>2971.0832916556215</v>
      </c>
      <c r="H18" s="63">
        <f>((586.200742+7.811+130.160558))*(2.204622/2)</f>
        <v>798.2630921853001</v>
      </c>
      <c r="I18" s="84">
        <f>E18-J18</f>
        <v>3769.3463838409216</v>
      </c>
      <c r="J18" s="63">
        <f>375.156+52.836</f>
        <v>427.992</v>
      </c>
      <c r="K18" s="24"/>
      <c r="L18" s="24"/>
    </row>
    <row r="19" spans="1:12" ht="15.75">
      <c r="A19" s="45" t="s">
        <v>66</v>
      </c>
      <c r="B19" s="85">
        <f>J18</f>
        <v>427.992</v>
      </c>
      <c r="C19" s="63">
        <f>3268.397+221.13</f>
        <v>3489.527</v>
      </c>
      <c r="D19" s="63">
        <f>(23907.767+3681+352.707)*2.204622/2000</f>
        <v>30.800194146414</v>
      </c>
      <c r="E19" s="63">
        <f t="shared" si="0"/>
        <v>3948.3191941464142</v>
      </c>
      <c r="F19" s="84"/>
      <c r="G19" s="86">
        <f t="shared" si="1"/>
        <v>2747.311134063634</v>
      </c>
      <c r="H19" s="63">
        <f>((612.180231+14.035+145.823749))*(2.204622/2)</f>
        <v>851.02706008278</v>
      </c>
      <c r="I19" s="84">
        <f>E19-J19</f>
        <v>3598.338194146414</v>
      </c>
      <c r="J19" s="63">
        <f>314.965+35.016</f>
        <v>349.981</v>
      </c>
      <c r="K19" s="24"/>
      <c r="L19" s="24"/>
    </row>
    <row r="20" spans="1:12" ht="15.75">
      <c r="A20" s="45" t="s">
        <v>68</v>
      </c>
      <c r="B20" s="85">
        <f>J19</f>
        <v>349.981</v>
      </c>
      <c r="C20" s="63">
        <f>3400.652+237.432</f>
        <v>3638.084</v>
      </c>
      <c r="D20" s="63">
        <f>(13681.79+2447+200.791+27.504)*2.204622/2000</f>
        <v>18.030594723435</v>
      </c>
      <c r="E20" s="63">
        <f t="shared" si="0"/>
        <v>4006.0955947234347</v>
      </c>
      <c r="F20" s="84"/>
      <c r="G20" s="86">
        <f t="shared" si="1"/>
        <v>2809.4328881144875</v>
      </c>
      <c r="H20" s="63">
        <f>((590.3906+5.875+104.955477))*(2.204622/2)</f>
        <v>772.963706608947</v>
      </c>
      <c r="I20" s="84">
        <f>E20-J20</f>
        <v>3582.3965947234346</v>
      </c>
      <c r="J20" s="63">
        <f>385.868+37.831</f>
        <v>423.699</v>
      </c>
      <c r="K20" s="24"/>
      <c r="L20" s="24"/>
    </row>
    <row r="21" spans="1:12" ht="15.75">
      <c r="A21" s="45" t="s">
        <v>69</v>
      </c>
      <c r="B21" s="85">
        <f>J20</f>
        <v>423.699</v>
      </c>
      <c r="C21" s="63">
        <f>3319.155+237.324</f>
        <v>3556.4790000000003</v>
      </c>
      <c r="D21" s="63">
        <f>(22330.612+3449+117.308+1855.441)*2.204622/2000</f>
        <v>30.591732806271</v>
      </c>
      <c r="E21" s="63">
        <f t="shared" si="0"/>
        <v>4010.7697328062713</v>
      </c>
      <c r="F21" s="84"/>
      <c r="G21" s="86">
        <f t="shared" si="1"/>
        <v>2811.309229831117</v>
      </c>
      <c r="H21" s="63">
        <f>((664.517336+4.113+123.324478))*(2.204622/2)</f>
        <v>872.9805029751541</v>
      </c>
      <c r="I21" s="84">
        <f>E21-J21</f>
        <v>3684.2897328062713</v>
      </c>
      <c r="J21" s="63">
        <f>290.921+35.559</f>
        <v>326.48</v>
      </c>
      <c r="K21" s="24"/>
      <c r="L21" s="24"/>
    </row>
    <row r="22" spans="1:12" ht="15.75">
      <c r="A22" s="45" t="s">
        <v>71</v>
      </c>
      <c r="B22" s="85">
        <f>J21</f>
        <v>326.48</v>
      </c>
      <c r="C22" s="63">
        <f>3188.771+219.873</f>
        <v>3408.6440000000002</v>
      </c>
      <c r="D22" s="63">
        <f>(20397.093+4027+105.104+15.191)*2.204622/2000</f>
        <v>27.055548880668</v>
      </c>
      <c r="E22" s="63">
        <f t="shared" si="0"/>
        <v>3762.1795488806683</v>
      </c>
      <c r="F22" s="84"/>
      <c r="G22" s="86">
        <f t="shared" si="1"/>
        <v>2676.2084951600373</v>
      </c>
      <c r="H22" s="63">
        <f>((490.716665+4.872+126.142456))*(2.204622/2)</f>
        <v>685.3410537206311</v>
      </c>
      <c r="I22" s="84">
        <f>E22-J22</f>
        <v>3361.549548880668</v>
      </c>
      <c r="J22" s="63">
        <f>353.758+46.872</f>
        <v>400.63</v>
      </c>
      <c r="K22" s="24"/>
      <c r="L22" s="24"/>
    </row>
    <row r="23" spans="1:12" ht="15.75">
      <c r="A23" s="45" t="s">
        <v>38</v>
      </c>
      <c r="B23" s="85"/>
      <c r="C23" s="63">
        <f>SUM(C11:C22)</f>
        <v>44787.017</v>
      </c>
      <c r="D23" s="63">
        <f>SUM(D11:D22)</f>
        <v>349.553099354697</v>
      </c>
      <c r="E23" s="63">
        <f>B11+C23+D23</f>
        <v>45400.4560993547</v>
      </c>
      <c r="F23" s="84"/>
      <c r="G23" s="86">
        <f>SUM(G11:G22)</f>
        <v>33419.53822241418</v>
      </c>
      <c r="H23" s="63">
        <f>SUM(H11:H22)</f>
        <v>11580.28787694051</v>
      </c>
      <c r="I23" s="84">
        <f>SUM(I11:I22)</f>
        <v>44999.826099354694</v>
      </c>
      <c r="J23" s="63"/>
      <c r="K23" s="24"/>
      <c r="L23" s="24"/>
    </row>
    <row r="24" spans="1:12" ht="15.75">
      <c r="A24" s="45"/>
      <c r="B24" s="85"/>
      <c r="C24" s="63"/>
      <c r="D24" s="63"/>
      <c r="E24" s="63"/>
      <c r="F24" s="84"/>
      <c r="G24" s="86"/>
      <c r="H24" s="63"/>
      <c r="I24" s="84"/>
      <c r="J24" s="63"/>
      <c r="K24" s="24"/>
      <c r="L24" s="24"/>
    </row>
    <row r="25" spans="1:10" ht="14.25">
      <c r="A25" s="42" t="s">
        <v>123</v>
      </c>
      <c r="B25" s="83"/>
      <c r="C25" s="63"/>
      <c r="D25" s="63"/>
      <c r="E25" s="63"/>
      <c r="F25" s="84"/>
      <c r="G25" s="63"/>
      <c r="H25" s="63"/>
      <c r="I25" s="63"/>
      <c r="J25" s="84"/>
    </row>
    <row r="26" spans="1:12" ht="15.75">
      <c r="A26" s="45" t="s">
        <v>58</v>
      </c>
      <c r="B26" s="85">
        <f>J22</f>
        <v>400.63</v>
      </c>
      <c r="C26" s="63">
        <f>3847.77+276.055</f>
        <v>4123.825</v>
      </c>
      <c r="D26" s="63">
        <f>(22847.236+3613+112.237+227.84)*2.204622/2000</f>
        <v>29.542279823343005</v>
      </c>
      <c r="E26" s="63">
        <f aca="true" t="shared" si="4" ref="E26:E31">SUM(B26:D26)</f>
        <v>4553.997279823343</v>
      </c>
      <c r="F26" s="84"/>
      <c r="G26" s="86">
        <f aca="true" t="shared" si="5" ref="G26:G31">I26-H26</f>
        <v>3378.7416613199302</v>
      </c>
      <c r="H26" s="63">
        <f>((600.174309+9.196+100.005374))*(2.204622/2)</f>
        <v>781.952618503413</v>
      </c>
      <c r="I26" s="84">
        <f aca="true" t="shared" si="6" ref="I26:I32">E26-J26</f>
        <v>4160.694279823343</v>
      </c>
      <c r="J26" s="63">
        <f>350.935+42.368</f>
        <v>393.303</v>
      </c>
      <c r="K26" s="24"/>
      <c r="L26" s="24"/>
    </row>
    <row r="27" spans="1:12" ht="15.75">
      <c r="A27" s="45" t="s">
        <v>59</v>
      </c>
      <c r="B27" s="85">
        <f aca="true" t="shared" si="7" ref="B27:B33">J26</f>
        <v>393.303</v>
      </c>
      <c r="C27" s="63">
        <f>3829.14+272.552</f>
        <v>4101.692</v>
      </c>
      <c r="D27" s="63">
        <f>(24089.253+6879+138.856+88.687)*2.204622/2000</f>
        <v>34.387469084556</v>
      </c>
      <c r="E27" s="63">
        <f t="shared" si="4"/>
        <v>4529.382469084556</v>
      </c>
      <c r="F27" s="84"/>
      <c r="G27" s="86">
        <f t="shared" si="5"/>
        <v>3025.7385579029396</v>
      </c>
      <c r="H27" s="63">
        <f>((805.972095+9.59+195.528161))*(2.204622/2)</f>
        <v>1114.535911181616</v>
      </c>
      <c r="I27" s="84">
        <f t="shared" si="6"/>
        <v>4140.274469084556</v>
      </c>
      <c r="J27" s="63">
        <f>354.998+34.11</f>
        <v>389.108</v>
      </c>
      <c r="K27" s="24"/>
      <c r="L27" s="24"/>
    </row>
    <row r="28" spans="1:12" ht="15.75">
      <c r="A28" s="45" t="s">
        <v>60</v>
      </c>
      <c r="B28" s="85">
        <f t="shared" si="7"/>
        <v>389.108</v>
      </c>
      <c r="C28" s="63">
        <f>3904.161+268.856</f>
        <v>4173.017</v>
      </c>
      <c r="D28" s="63">
        <f>(24389.331+4562+327.365+22.939)*2.204622/2000</f>
        <v>32.299514578485</v>
      </c>
      <c r="E28" s="63">
        <f t="shared" si="4"/>
        <v>4594.424514578485</v>
      </c>
      <c r="F28" s="84"/>
      <c r="G28" s="86">
        <f t="shared" si="5"/>
        <v>2850.624674345999</v>
      </c>
      <c r="H28" s="63">
        <f>((830.201079+4.499+243.868347))*(2.204622/2)</f>
        <v>1188.917840232486</v>
      </c>
      <c r="I28" s="84">
        <f t="shared" si="6"/>
        <v>4039.542514578485</v>
      </c>
      <c r="J28" s="63">
        <f>506.203+48.679</f>
        <v>554.882</v>
      </c>
      <c r="K28" s="24"/>
      <c r="L28" s="24"/>
    </row>
    <row r="29" spans="1:12" ht="15.75">
      <c r="A29" s="45" t="s">
        <v>61</v>
      </c>
      <c r="B29" s="85">
        <f t="shared" si="7"/>
        <v>554.882</v>
      </c>
      <c r="C29" s="63">
        <f>3859.849+268.466</f>
        <v>4128.3150000000005</v>
      </c>
      <c r="D29" s="63">
        <f>(36971.805+5379+529.766+155.003)*2.204622/2000</f>
        <v>47.438586611514005</v>
      </c>
      <c r="E29" s="63">
        <f t="shared" si="4"/>
        <v>4730.635586611515</v>
      </c>
      <c r="F29" s="84"/>
      <c r="G29" s="86">
        <f t="shared" si="5"/>
        <v>3137.9027527343933</v>
      </c>
      <c r="H29" s="63">
        <f>((963.675889+8.332+100.939613))*(2.204622/2)</f>
        <v>1182.721833877122</v>
      </c>
      <c r="I29" s="84">
        <f t="shared" si="6"/>
        <v>4320.624586611515</v>
      </c>
      <c r="J29" s="63">
        <f>379.359+30.652</f>
        <v>410.01099999999997</v>
      </c>
      <c r="K29" s="24"/>
      <c r="L29" s="24"/>
    </row>
    <row r="30" spans="1:12" ht="15.75">
      <c r="A30" s="45" t="s">
        <v>62</v>
      </c>
      <c r="B30" s="85">
        <f t="shared" si="7"/>
        <v>410.01099999999997</v>
      </c>
      <c r="C30" s="63">
        <f>3651.786+247.786</f>
        <v>3899.572</v>
      </c>
      <c r="D30" s="63">
        <f>(38660.509+4701+268.165+52.191)*2.204622/2000</f>
        <v>48.151000290015</v>
      </c>
      <c r="E30" s="63">
        <f t="shared" si="4"/>
        <v>4357.7340002900155</v>
      </c>
      <c r="F30" s="84"/>
      <c r="G30" s="86">
        <f t="shared" si="5"/>
        <v>2658.6559813247736</v>
      </c>
      <c r="H30" s="63">
        <f>((928.305283+11.173+188.412139))*(2.204622/2)</f>
        <v>1243.286018965242</v>
      </c>
      <c r="I30" s="84">
        <f t="shared" si="6"/>
        <v>3901.9420002900156</v>
      </c>
      <c r="J30" s="63">
        <f>415.077+40.715</f>
        <v>455.79200000000003</v>
      </c>
      <c r="K30" s="24"/>
      <c r="L30" s="24"/>
    </row>
    <row r="31" spans="1:12" ht="15.75">
      <c r="A31" s="45" t="s">
        <v>63</v>
      </c>
      <c r="B31" s="85">
        <f t="shared" si="7"/>
        <v>455.79200000000003</v>
      </c>
      <c r="C31" s="63">
        <f>4029.272+277.277</f>
        <v>4306.549</v>
      </c>
      <c r="D31" s="63">
        <f>(44293.716+6632+552.284+45.659)*2.204622/2000</f>
        <v>56.795096075949004</v>
      </c>
      <c r="E31" s="63">
        <f t="shared" si="4"/>
        <v>4819.136096075949</v>
      </c>
      <c r="F31" s="84"/>
      <c r="G31" s="86">
        <f t="shared" si="5"/>
        <v>2860.0986151257603</v>
      </c>
      <c r="H31" s="63">
        <f>((1087.910534+8.669+186.947965))*(2.204622/2)</f>
        <v>1414.8464809501893</v>
      </c>
      <c r="I31" s="84">
        <f t="shared" si="6"/>
        <v>4274.94509607595</v>
      </c>
      <c r="J31" s="63">
        <f>492.224+51.967</f>
        <v>544.191</v>
      </c>
      <c r="K31" s="24"/>
      <c r="L31" s="24"/>
    </row>
    <row r="32" spans="1:12" ht="15.75">
      <c r="A32" s="45" t="s">
        <v>64</v>
      </c>
      <c r="B32" s="85">
        <f t="shared" si="7"/>
        <v>544.191</v>
      </c>
      <c r="C32" s="63">
        <f>3822.338+257.585</f>
        <v>4079.9230000000002</v>
      </c>
      <c r="D32" s="63">
        <f>(28045.93+7488+746.07+92.753)*2.204622/2000</f>
        <v>40.094085732183</v>
      </c>
      <c r="E32" s="63">
        <f>SUM(B32:D32)</f>
        <v>4664.2080857321835</v>
      </c>
      <c r="F32" s="84"/>
      <c r="G32" s="86">
        <f>I32-H32</f>
        <v>2883.671536103174</v>
      </c>
      <c r="H32" s="63">
        <f>((939.851833+12.285+252.977286))*(2.204622/2)</f>
        <v>1328.4105496290092</v>
      </c>
      <c r="I32" s="84">
        <f t="shared" si="6"/>
        <v>4212.082085732183</v>
      </c>
      <c r="J32" s="63">
        <f>404.468+47.658</f>
        <v>452.12600000000003</v>
      </c>
      <c r="K32" s="24"/>
      <c r="L32" s="24"/>
    </row>
    <row r="33" spans="1:12" ht="15.75">
      <c r="A33" s="45" t="s">
        <v>65</v>
      </c>
      <c r="B33" s="85">
        <f t="shared" si="7"/>
        <v>452.12600000000003</v>
      </c>
      <c r="C33" s="63">
        <f>3846.687+262.574</f>
        <v>4109.2609999999995</v>
      </c>
      <c r="D33" s="63">
        <f>(30307.778+8732+999.903+277.738)*2.204622/2000</f>
        <v>44.442334455308995</v>
      </c>
      <c r="E33" s="63">
        <f>SUM(B33:D33)</f>
        <v>4605.8293344553085</v>
      </c>
      <c r="F33" s="84"/>
      <c r="G33" s="86">
        <f>I33-H33</f>
        <v>2837.734110231835</v>
      </c>
      <c r="H33" s="63">
        <f>((931.728038+14.292+265.043105))*(2.204622/2)</f>
        <v>1334.968224223473</v>
      </c>
      <c r="I33" s="84">
        <f>E33-J33</f>
        <v>4172.702334455308</v>
      </c>
      <c r="J33" s="63">
        <f>391.812+41.315</f>
        <v>433.127</v>
      </c>
      <c r="K33" s="24"/>
      <c r="L33" s="24"/>
    </row>
    <row r="34" spans="1:12" ht="15.75">
      <c r="A34" s="45" t="s">
        <v>66</v>
      </c>
      <c r="B34" s="85">
        <f>J33</f>
        <v>433.127</v>
      </c>
      <c r="C34" s="63">
        <f>3778.127+254.192</f>
        <v>4032.319</v>
      </c>
      <c r="D34" s="63">
        <f>(32240.674+5482+601.309+347.659)*2.204622/2000</f>
        <v>42.628176364662</v>
      </c>
      <c r="E34" s="63">
        <f>SUM(B34:D34)</f>
        <v>4508.074176364662</v>
      </c>
      <c r="F34" s="84"/>
      <c r="G34" s="86">
        <f>I34-H34</f>
        <v>2631.848080315487</v>
      </c>
      <c r="H34" s="63">
        <f>((1029.570683+13.178+297.795951))*(2.204622/2)</f>
        <v>1477.6970960491742</v>
      </c>
      <c r="I34" s="84">
        <f>E34-J34</f>
        <v>4109.5451763646615</v>
      </c>
      <c r="J34" s="63">
        <f>359.823+38.706</f>
        <v>398.529</v>
      </c>
      <c r="K34" s="24"/>
      <c r="L34" s="24"/>
    </row>
    <row r="35" spans="1:12" ht="15.75">
      <c r="A35" s="45" t="s">
        <v>68</v>
      </c>
      <c r="B35" s="85">
        <f>J34</f>
        <v>398.529</v>
      </c>
      <c r="C35" s="63">
        <f>3979.12+265.562</f>
        <v>4244.682</v>
      </c>
      <c r="D35" s="63">
        <f>(25790.768+9506+404.699+474.826)*2.204622/2000</f>
        <v>39.87752571312299</v>
      </c>
      <c r="E35" s="63">
        <f>SUM(B35:D35)</f>
        <v>4683.088525713122</v>
      </c>
      <c r="F35" s="84"/>
      <c r="G35" s="86">
        <f>I35-H35</f>
        <v>2917.192889738247</v>
      </c>
      <c r="H35" s="63">
        <f>((871.419645+16.308+249.39848))*(2.204622/2)</f>
        <v>1253.466635974875</v>
      </c>
      <c r="I35" s="84">
        <f>E35-J35</f>
        <v>4170.659525713122</v>
      </c>
      <c r="J35" s="63">
        <f>462.35+50.079</f>
        <v>512.429</v>
      </c>
      <c r="K35" s="24"/>
      <c r="L35" s="24"/>
    </row>
    <row r="36" spans="1:10" ht="14.25">
      <c r="A36" s="41" t="s">
        <v>122</v>
      </c>
      <c r="B36" s="87"/>
      <c r="C36" s="72">
        <f>SUM(C26:C35)</f>
        <v>41199.155000000006</v>
      </c>
      <c r="D36" s="72">
        <f>SUM(D26:D35)</f>
        <v>415.65606872913895</v>
      </c>
      <c r="E36" s="72">
        <f>B26+C36+D36</f>
        <v>42015.441068729146</v>
      </c>
      <c r="F36" s="72"/>
      <c r="G36" s="72">
        <f>SUM(G26:G35)</f>
        <v>29182.208859142534</v>
      </c>
      <c r="H36" s="72">
        <f>SUM(H26:H35)</f>
        <v>12320.803209586598</v>
      </c>
      <c r="I36" s="72">
        <f>SUM(I26:I35)</f>
        <v>41503.012068729135</v>
      </c>
      <c r="J36" s="72"/>
    </row>
    <row r="37" spans="1:10" ht="16.5">
      <c r="A37" s="88" t="s">
        <v>132</v>
      </c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14.25">
      <c r="A38" s="42" t="s">
        <v>133</v>
      </c>
      <c r="B38" s="42"/>
      <c r="C38" s="42"/>
      <c r="D38" s="42"/>
      <c r="E38" s="42"/>
      <c r="F38" s="42"/>
      <c r="G38" s="42"/>
      <c r="H38" s="42"/>
      <c r="I38" s="42"/>
      <c r="J38" s="42"/>
    </row>
    <row r="39" spans="1:10" ht="14.25">
      <c r="A39" s="42" t="s">
        <v>26</v>
      </c>
      <c r="B39" s="80">
        <f ca="1">NOW()</f>
        <v>43357.319098148146</v>
      </c>
      <c r="C39" s="62"/>
      <c r="D39" s="58"/>
      <c r="E39" s="58"/>
      <c r="F39" s="58"/>
      <c r="G39" s="58"/>
      <c r="H39" s="58"/>
      <c r="I39" s="58"/>
      <c r="J39" s="58"/>
    </row>
    <row r="40" spans="1:10" ht="12.75">
      <c r="A40" s="1"/>
      <c r="B40" s="3"/>
      <c r="C40" s="4"/>
      <c r="D40" s="3"/>
      <c r="E40" s="3"/>
      <c r="F40" s="3"/>
      <c r="G40" s="3"/>
      <c r="H40" s="5"/>
      <c r="I40" s="3"/>
      <c r="J40" s="3"/>
    </row>
    <row r="41" spans="1:10" ht="12.75">
      <c r="A41" s="1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42"/>
      <c r="B2" s="154" t="s">
        <v>0</v>
      </c>
      <c r="C2" s="154"/>
      <c r="D2" s="154"/>
      <c r="E2" s="154"/>
      <c r="F2" s="45"/>
      <c r="G2" s="154" t="s">
        <v>24</v>
      </c>
      <c r="H2" s="154"/>
      <c r="I2" s="154"/>
      <c r="J2" s="43"/>
      <c r="K2" s="43"/>
      <c r="L2" s="42"/>
    </row>
    <row r="3" spans="1:12" ht="14.25">
      <c r="A3" s="42" t="s">
        <v>84</v>
      </c>
      <c r="B3" s="44" t="s">
        <v>36</v>
      </c>
      <c r="C3" s="89" t="s">
        <v>1</v>
      </c>
      <c r="D3" s="89" t="s">
        <v>37</v>
      </c>
      <c r="E3" s="89" t="s">
        <v>32</v>
      </c>
      <c r="F3" s="89"/>
      <c r="G3" s="43" t="s">
        <v>35</v>
      </c>
      <c r="H3" s="43"/>
      <c r="I3" s="43"/>
      <c r="J3" s="89" t="s">
        <v>39</v>
      </c>
      <c r="K3" s="89" t="s">
        <v>32</v>
      </c>
      <c r="L3" s="89" t="s">
        <v>34</v>
      </c>
    </row>
    <row r="4" spans="1:12" ht="14.25">
      <c r="A4" s="47" t="s">
        <v>85</v>
      </c>
      <c r="B4" s="49" t="s">
        <v>33</v>
      </c>
      <c r="C4" s="50"/>
      <c r="D4" s="50"/>
      <c r="E4" s="50"/>
      <c r="F4" s="50"/>
      <c r="G4" s="49" t="s">
        <v>3</v>
      </c>
      <c r="H4" s="49" t="s">
        <v>98</v>
      </c>
      <c r="I4" s="49" t="s">
        <v>121</v>
      </c>
      <c r="J4" s="50"/>
      <c r="K4" s="50"/>
      <c r="L4" s="89" t="s">
        <v>97</v>
      </c>
    </row>
    <row r="5" spans="1:12" ht="14.25">
      <c r="A5" s="42"/>
      <c r="B5" s="152" t="s">
        <v>112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14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3" ht="16.5">
      <c r="A7" s="42" t="s">
        <v>128</v>
      </c>
      <c r="B7" s="83">
        <v>1686.813</v>
      </c>
      <c r="C7" s="83">
        <f>C24</f>
        <v>22123.409</v>
      </c>
      <c r="D7" s="83">
        <f>D24</f>
        <v>318.708767573532</v>
      </c>
      <c r="E7" s="83">
        <f>+B7+C7+D7</f>
        <v>24128.930767573533</v>
      </c>
      <c r="F7" s="83"/>
      <c r="G7" s="83">
        <f>+K7-J7</f>
        <v>19862.31453493718</v>
      </c>
      <c r="H7" s="83">
        <f>H24</f>
        <v>6200.299999999999</v>
      </c>
      <c r="I7" s="83">
        <f>G7-H7</f>
        <v>13662.014534937181</v>
      </c>
      <c r="J7" s="83">
        <f>J24</f>
        <v>2555.6622326363517</v>
      </c>
      <c r="K7" s="83">
        <f>+E7-L7</f>
        <v>22417.97676757353</v>
      </c>
      <c r="L7" s="83">
        <f>L23</f>
        <v>1710.954</v>
      </c>
      <c r="M7" s="17"/>
    </row>
    <row r="8" spans="1:13" ht="16.5">
      <c r="A8" s="42" t="s">
        <v>129</v>
      </c>
      <c r="B8" s="83">
        <f>+L7</f>
        <v>1710.954</v>
      </c>
      <c r="C8" s="83">
        <v>23645</v>
      </c>
      <c r="D8" s="83">
        <v>350</v>
      </c>
      <c r="E8" s="83">
        <f>+B8+C8+D8</f>
        <v>25705.954</v>
      </c>
      <c r="F8" s="83"/>
      <c r="G8" s="83">
        <f>+K8-J8</f>
        <v>21099.954</v>
      </c>
      <c r="H8" s="83">
        <v>7000</v>
      </c>
      <c r="I8" s="83">
        <f>G8-H8</f>
        <v>14099.954000000002</v>
      </c>
      <c r="J8" s="83">
        <v>2450</v>
      </c>
      <c r="K8" s="83">
        <f>+E8-L8</f>
        <v>23549.954</v>
      </c>
      <c r="L8" s="83">
        <v>2156</v>
      </c>
      <c r="M8" s="17"/>
    </row>
    <row r="9" spans="1:13" ht="16.5">
      <c r="A9" s="42" t="s">
        <v>170</v>
      </c>
      <c r="B9" s="83">
        <f>+L8</f>
        <v>2156</v>
      </c>
      <c r="C9" s="83">
        <v>23910</v>
      </c>
      <c r="D9" s="83">
        <v>300</v>
      </c>
      <c r="E9" s="83">
        <f>+B9+C9+D9</f>
        <v>26366</v>
      </c>
      <c r="F9" s="83"/>
      <c r="G9" s="83">
        <f>+K9-J9</f>
        <v>22000</v>
      </c>
      <c r="H9" s="83">
        <v>7800</v>
      </c>
      <c r="I9" s="83">
        <f>G9-H9</f>
        <v>14200</v>
      </c>
      <c r="J9" s="83">
        <v>2200</v>
      </c>
      <c r="K9" s="83">
        <f>+E9-L9</f>
        <v>24200</v>
      </c>
      <c r="L9" s="83">
        <v>2166</v>
      </c>
      <c r="M9" s="17"/>
    </row>
    <row r="10" spans="1:13" ht="14.25">
      <c r="A10" s="4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17"/>
    </row>
    <row r="11" spans="1:12" ht="14.25">
      <c r="A11" s="42" t="s">
        <v>120</v>
      </c>
      <c r="B11" s="83"/>
      <c r="C11" s="63"/>
      <c r="D11" s="63"/>
      <c r="E11" s="63"/>
      <c r="F11" s="84"/>
      <c r="G11" s="63"/>
      <c r="H11" s="63"/>
      <c r="I11" s="63"/>
      <c r="J11" s="63"/>
      <c r="K11" s="63"/>
      <c r="L11" s="84"/>
    </row>
    <row r="12" spans="1:12" ht="14.25">
      <c r="A12" s="45" t="s">
        <v>58</v>
      </c>
      <c r="B12" s="84">
        <f>1417.4+269.413</f>
        <v>1686.813</v>
      </c>
      <c r="C12" s="90">
        <v>2028.518</v>
      </c>
      <c r="D12" s="84">
        <f>(0.434626+0+6.110958+0)*2.204622</f>
        <v>14.430538489248</v>
      </c>
      <c r="E12" s="84">
        <f aca="true" t="shared" si="0" ref="E12:E23">SUM(B12:D12)</f>
        <v>3729.7615384892483</v>
      </c>
      <c r="F12" s="84"/>
      <c r="G12" s="84">
        <f aca="true" t="shared" si="1" ref="G12:G23">K12-J12</f>
        <v>1693.4684488477524</v>
      </c>
      <c r="H12" s="84">
        <v>525.96</v>
      </c>
      <c r="I12" s="84">
        <f aca="true" t="shared" si="2" ref="I12:I23">G12-H12</f>
        <v>1167.5084488477523</v>
      </c>
      <c r="J12" s="84">
        <f>(87.527672+0.238795+21.038125+0.503076)*2.204622</f>
        <v>240.98208964149597</v>
      </c>
      <c r="K12" s="84">
        <f aca="true" t="shared" si="3" ref="K12:K23">E12-L12</f>
        <v>1934.4505384892484</v>
      </c>
      <c r="L12" s="84">
        <f>1437.483+357.828</f>
        <v>1795.311</v>
      </c>
    </row>
    <row r="13" spans="1:12" ht="14.25">
      <c r="A13" s="45" t="s">
        <v>59</v>
      </c>
      <c r="B13" s="84">
        <f aca="true" t="shared" si="4" ref="B13:B18">L12</f>
        <v>1795.311</v>
      </c>
      <c r="C13" s="90">
        <v>1961.256</v>
      </c>
      <c r="D13" s="84">
        <f>(11.291133+0+6.136446+0)*2.204622</f>
        <v>38.421224070138</v>
      </c>
      <c r="E13" s="84">
        <f t="shared" si="0"/>
        <v>3794.988224070138</v>
      </c>
      <c r="F13" s="84"/>
      <c r="G13" s="84">
        <f t="shared" si="1"/>
        <v>1777.576038563534</v>
      </c>
      <c r="H13" s="84">
        <v>595.83</v>
      </c>
      <c r="I13" s="84">
        <f t="shared" si="2"/>
        <v>1181.746038563534</v>
      </c>
      <c r="J13" s="84">
        <f>(90.24774+0.217251+16.55696+0.343931)*2.204622</f>
        <v>236.70118550660402</v>
      </c>
      <c r="K13" s="84">
        <f t="shared" si="3"/>
        <v>2014.2772240701381</v>
      </c>
      <c r="L13" s="84">
        <f>1473.201+307.51</f>
        <v>1780.711</v>
      </c>
    </row>
    <row r="14" spans="1:12" ht="14.25">
      <c r="A14" s="45" t="s">
        <v>60</v>
      </c>
      <c r="B14" s="84">
        <f t="shared" si="4"/>
        <v>1780.711</v>
      </c>
      <c r="C14" s="90">
        <v>1950.176</v>
      </c>
      <c r="D14" s="84">
        <f>(12.194023+0+9.312901+0.00046)*2.204622</f>
        <v>47.415651928848</v>
      </c>
      <c r="E14" s="84">
        <f t="shared" si="0"/>
        <v>3778.302651928848</v>
      </c>
      <c r="F14" s="84"/>
      <c r="G14" s="84">
        <f t="shared" si="1"/>
        <v>1670.6219463191878</v>
      </c>
      <c r="H14" s="84">
        <v>610.47</v>
      </c>
      <c r="I14" s="84">
        <f t="shared" si="2"/>
        <v>1060.1519463191878</v>
      </c>
      <c r="J14" s="84">
        <f>(89.693028+0.363189+16.519097+0.205216)*2.204622</f>
        <v>235.41070560966</v>
      </c>
      <c r="K14" s="84">
        <f t="shared" si="3"/>
        <v>1906.0326519288478</v>
      </c>
      <c r="L14" s="84">
        <f>1505.351+366.919</f>
        <v>1872.27</v>
      </c>
    </row>
    <row r="15" spans="1:12" ht="14.25">
      <c r="A15" s="45" t="s">
        <v>61</v>
      </c>
      <c r="B15" s="84">
        <f t="shared" si="4"/>
        <v>1872.27</v>
      </c>
      <c r="C15" s="90">
        <v>1982.893</v>
      </c>
      <c r="D15" s="84">
        <f>(0.466576+0+9.795834+0.02089)*2.204622</f>
        <v>22.670789412599998</v>
      </c>
      <c r="E15" s="84">
        <f t="shared" si="0"/>
        <v>3877.8337894126</v>
      </c>
      <c r="F15" s="84"/>
      <c r="G15" s="84">
        <f t="shared" si="1"/>
        <v>1492.7819223601157</v>
      </c>
      <c r="H15" s="84">
        <v>390.11</v>
      </c>
      <c r="I15" s="84">
        <f t="shared" si="2"/>
        <v>1102.6719223601158</v>
      </c>
      <c r="J15" s="84">
        <f>(93.975464+0.129304+23.105929+0.430725)*2.204622</f>
        <v>259.354867052484</v>
      </c>
      <c r="K15" s="84">
        <f t="shared" si="3"/>
        <v>1752.1367894125997</v>
      </c>
      <c r="L15" s="84">
        <f>1731.033+394.664</f>
        <v>2125.697</v>
      </c>
    </row>
    <row r="16" spans="1:12" ht="14.25">
      <c r="A16" s="45" t="s">
        <v>62</v>
      </c>
      <c r="B16" s="84">
        <f t="shared" si="4"/>
        <v>2125.697</v>
      </c>
      <c r="C16" s="90">
        <v>1757.03</v>
      </c>
      <c r="D16" s="84">
        <f>(1.041719+0+8.449661+0)*2.204622</f>
        <v>20.924905158360005</v>
      </c>
      <c r="E16" s="84">
        <f t="shared" si="0"/>
        <v>3903.65190515836</v>
      </c>
      <c r="F16" s="84"/>
      <c r="G16" s="84">
        <f t="shared" si="1"/>
        <v>1451.589437605194</v>
      </c>
      <c r="H16" s="84">
        <v>369.18</v>
      </c>
      <c r="I16" s="84">
        <f t="shared" si="2"/>
        <v>1082.409437605194</v>
      </c>
      <c r="J16" s="84">
        <f>(89.650838+0.095622+18.256324+0.290369)*2.204622</f>
        <v>238.74546755316598</v>
      </c>
      <c r="K16" s="84">
        <f t="shared" si="3"/>
        <v>1690.33490515836</v>
      </c>
      <c r="L16" s="84">
        <f>1801.761+411.556</f>
        <v>2213.317</v>
      </c>
    </row>
    <row r="17" spans="1:12" ht="14.25">
      <c r="A17" s="45" t="s">
        <v>63</v>
      </c>
      <c r="B17" s="84">
        <f t="shared" si="4"/>
        <v>2213.317</v>
      </c>
      <c r="C17" s="90">
        <v>1865.466</v>
      </c>
      <c r="D17" s="84">
        <f>(0.758203+0+11.47952+0)*2.204622</f>
        <v>26.979553355706003</v>
      </c>
      <c r="E17" s="84">
        <f t="shared" si="0"/>
        <v>4105.762553355706</v>
      </c>
      <c r="F17" s="84"/>
      <c r="G17" s="84">
        <f t="shared" si="1"/>
        <v>1466.4654145410739</v>
      </c>
      <c r="H17" s="84">
        <v>369.46</v>
      </c>
      <c r="I17" s="84">
        <f t="shared" si="2"/>
        <v>1097.0054145410738</v>
      </c>
      <c r="J17" s="84">
        <f>(108.075711+0.337664+25.328653+0.276928)*2.204622</f>
        <v>295.461138814632</v>
      </c>
      <c r="K17" s="84">
        <f t="shared" si="3"/>
        <v>1761.926553355706</v>
      </c>
      <c r="L17" s="84">
        <f>1934.877+408.959</f>
        <v>2343.836</v>
      </c>
    </row>
    <row r="18" spans="1:12" ht="14.25">
      <c r="A18" s="45" t="s">
        <v>64</v>
      </c>
      <c r="B18" s="84">
        <f t="shared" si="4"/>
        <v>2343.836</v>
      </c>
      <c r="C18" s="90">
        <v>1737.775</v>
      </c>
      <c r="D18" s="84">
        <f>(1.601179+0+13.024339+0.006804)*2.204622</f>
        <v>32.258738992284</v>
      </c>
      <c r="E18" s="84">
        <f t="shared" si="0"/>
        <v>4113.869738992284</v>
      </c>
      <c r="F18" s="84"/>
      <c r="G18" s="84">
        <f t="shared" si="1"/>
        <v>1616.4764288912756</v>
      </c>
      <c r="H18" s="84">
        <v>426.71</v>
      </c>
      <c r="I18" s="84">
        <f t="shared" si="2"/>
        <v>1189.7664288912756</v>
      </c>
      <c r="J18" s="84">
        <f>(89.464045+0.094891+27.020814+0.176914)*2.204622</f>
        <v>257.40431010100804</v>
      </c>
      <c r="K18" s="84">
        <f t="shared" si="3"/>
        <v>1873.8807389922836</v>
      </c>
      <c r="L18" s="84">
        <f>1848.364+391.625</f>
        <v>2239.989</v>
      </c>
    </row>
    <row r="19" spans="1:12" ht="14.25">
      <c r="A19" s="45" t="s">
        <v>65</v>
      </c>
      <c r="B19" s="84">
        <f>L18</f>
        <v>2239.989</v>
      </c>
      <c r="C19" s="90">
        <v>1839.342</v>
      </c>
      <c r="D19" s="84">
        <f>(1.669208+0+12.616689+0)*2.204622</f>
        <v>31.495002815933997</v>
      </c>
      <c r="E19" s="84">
        <f t="shared" si="0"/>
        <v>4110.826002815934</v>
      </c>
      <c r="F19" s="84"/>
      <c r="G19" s="84">
        <f t="shared" si="1"/>
        <v>1680.2483986462278</v>
      </c>
      <c r="H19" s="84">
        <v>545.51</v>
      </c>
      <c r="I19" s="84">
        <f t="shared" si="2"/>
        <v>1134.7383986462278</v>
      </c>
      <c r="J19" s="84">
        <f>(47.935414+0.165843+24.707034+0.366432)*2.204622</f>
        <v>161.322604169706</v>
      </c>
      <c r="K19" s="84">
        <f t="shared" si="3"/>
        <v>1841.5710028159338</v>
      </c>
      <c r="L19" s="84">
        <f>1888.717+380.538</f>
        <v>2269.255</v>
      </c>
    </row>
    <row r="20" spans="1:12" ht="14.25">
      <c r="A20" s="45" t="s">
        <v>66</v>
      </c>
      <c r="B20" s="84">
        <f>L19</f>
        <v>2269.255</v>
      </c>
      <c r="C20" s="90">
        <v>1735.608</v>
      </c>
      <c r="D20" s="84">
        <f>(0.591416+0+10.424846+0.00225)*2.204622</f>
        <v>24.291653962464004</v>
      </c>
      <c r="E20" s="84">
        <f t="shared" si="0"/>
        <v>4029.154653962464</v>
      </c>
      <c r="F20" s="84"/>
      <c r="G20" s="84">
        <f t="shared" si="1"/>
        <v>1748.2885538861906</v>
      </c>
      <c r="H20" s="84">
        <v>548.84</v>
      </c>
      <c r="I20" s="84">
        <f t="shared" si="2"/>
        <v>1199.4485538861904</v>
      </c>
      <c r="J20" s="84">
        <f>(47.842155+0.32108+14.04586+0.381272)*2.204622</f>
        <v>137.988100076274</v>
      </c>
      <c r="K20" s="84">
        <f t="shared" si="3"/>
        <v>1886.2766539624645</v>
      </c>
      <c r="L20" s="84">
        <f>1815.157+327.721</f>
        <v>2142.8779999999997</v>
      </c>
    </row>
    <row r="21" spans="1:12" ht="14.25">
      <c r="A21" s="45" t="s">
        <v>68</v>
      </c>
      <c r="B21" s="84">
        <f>L20</f>
        <v>2142.8779999999997</v>
      </c>
      <c r="C21" s="90">
        <v>1801.376</v>
      </c>
      <c r="D21" s="84">
        <f>(0.528216+0+9.657898+0)*2.204622</f>
        <v>22.456531018908002</v>
      </c>
      <c r="E21" s="84">
        <f t="shared" si="0"/>
        <v>3966.710531018908</v>
      </c>
      <c r="F21" s="84"/>
      <c r="G21" s="84">
        <f t="shared" si="1"/>
        <v>1767.366290375522</v>
      </c>
      <c r="H21" s="84">
        <v>606.15</v>
      </c>
      <c r="I21" s="84">
        <f t="shared" si="2"/>
        <v>1161.216290375522</v>
      </c>
      <c r="J21" s="84">
        <f>(65.02301+0.148382+24.814047+0.209724)*2.204622</f>
        <v>198.84624064338598</v>
      </c>
      <c r="K21" s="84">
        <f t="shared" si="3"/>
        <v>1966.212531018908</v>
      </c>
      <c r="L21" s="84">
        <f>1627.909+372.589</f>
        <v>2000.498</v>
      </c>
    </row>
    <row r="22" spans="1:12" ht="14.25">
      <c r="A22" s="45" t="s">
        <v>69</v>
      </c>
      <c r="B22" s="84">
        <f>L21</f>
        <v>2000.498</v>
      </c>
      <c r="C22" s="90">
        <v>1762.207</v>
      </c>
      <c r="D22" s="84">
        <f>(0.495803+0+8.286889+0)*2.204622</f>
        <v>19.362516002424</v>
      </c>
      <c r="E22" s="84">
        <f t="shared" si="0"/>
        <v>3782.067516002424</v>
      </c>
      <c r="F22" s="84"/>
      <c r="G22" s="84">
        <f t="shared" si="1"/>
        <v>1808.515542858618</v>
      </c>
      <c r="H22" s="84">
        <v>608.17</v>
      </c>
      <c r="I22" s="84">
        <f t="shared" si="2"/>
        <v>1200.345542858618</v>
      </c>
      <c r="J22" s="84">
        <f>(58.152578+0.182461+15.446844+0.24939)*2.204622</f>
        <v>163.21097314380603</v>
      </c>
      <c r="K22" s="84">
        <f t="shared" si="3"/>
        <v>1971.726516002424</v>
      </c>
      <c r="L22" s="84">
        <f>1483.031+327.31</f>
        <v>1810.341</v>
      </c>
    </row>
    <row r="23" spans="1:12" ht="14.25">
      <c r="A23" s="45" t="s">
        <v>71</v>
      </c>
      <c r="B23" s="84">
        <f>L22</f>
        <v>1810.341</v>
      </c>
      <c r="C23" s="90">
        <v>1701.762</v>
      </c>
      <c r="D23" s="84">
        <f>(0.556101+0+7.608838+0.00048)*2.204622</f>
        <v>18.001662366618</v>
      </c>
      <c r="E23" s="84">
        <f t="shared" si="0"/>
        <v>3530.104662366618</v>
      </c>
      <c r="F23" s="84"/>
      <c r="G23" s="84">
        <f t="shared" si="1"/>
        <v>1688.916112042488</v>
      </c>
      <c r="H23" s="84">
        <v>603.91</v>
      </c>
      <c r="I23" s="84">
        <f t="shared" si="2"/>
        <v>1085.006112042488</v>
      </c>
      <c r="J23" s="84">
        <f>(41.914049+0.162186+16.816761+0.180419)*2.204622</f>
        <v>130.23455032413</v>
      </c>
      <c r="K23" s="84">
        <f t="shared" si="3"/>
        <v>1819.150662366618</v>
      </c>
      <c r="L23" s="84">
        <f>1400.918+310.036</f>
        <v>1710.954</v>
      </c>
    </row>
    <row r="24" spans="1:12" ht="14.25">
      <c r="A24" s="45" t="s">
        <v>38</v>
      </c>
      <c r="B24" s="84"/>
      <c r="C24" s="63">
        <f>SUM(C12:C23)</f>
        <v>22123.409</v>
      </c>
      <c r="D24" s="84">
        <f>SUM(D12:D23)</f>
        <v>318.708767573532</v>
      </c>
      <c r="E24" s="84">
        <f>B12+C24+D24</f>
        <v>24128.930767573533</v>
      </c>
      <c r="F24" s="84"/>
      <c r="G24" s="84">
        <f>SUM(G12:G23)</f>
        <v>19862.314534937177</v>
      </c>
      <c r="H24" s="84">
        <f>SUM(H12:H23)</f>
        <v>6200.299999999999</v>
      </c>
      <c r="I24" s="84">
        <f>SUM(I12:I23)</f>
        <v>13662.014534937178</v>
      </c>
      <c r="J24" s="84">
        <f>SUM(J12:J23)</f>
        <v>2555.6622326363517</v>
      </c>
      <c r="K24" s="63">
        <f>SUM(K12:K23)</f>
        <v>22417.97676757353</v>
      </c>
      <c r="L24" s="84"/>
    </row>
    <row r="25" spans="1:12" ht="14.25">
      <c r="A25" s="45"/>
      <c r="B25" s="84"/>
      <c r="C25" s="90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4.25">
      <c r="A26" s="42" t="s">
        <v>123</v>
      </c>
      <c r="B26" s="83"/>
      <c r="C26" s="63"/>
      <c r="D26" s="63"/>
      <c r="E26" s="63"/>
      <c r="F26" s="84"/>
      <c r="G26" s="63"/>
      <c r="H26" s="63"/>
      <c r="I26" s="63"/>
      <c r="J26" s="63"/>
      <c r="K26" s="63"/>
      <c r="L26" s="84"/>
    </row>
    <row r="27" spans="1:12" ht="14.25">
      <c r="A27" s="45" t="s">
        <v>58</v>
      </c>
      <c r="B27" s="84">
        <f>L23</f>
        <v>1710.954</v>
      </c>
      <c r="C27" s="90">
        <v>2016.888</v>
      </c>
      <c r="D27" s="84">
        <f>(0.663115+0+13.936652+0)*2.204622</f>
        <v>32.186967523074</v>
      </c>
      <c r="E27" s="84">
        <f aca="true" t="shared" si="5" ref="E27:E33">SUM(B27:D27)</f>
        <v>3760.028967523074</v>
      </c>
      <c r="F27" s="84"/>
      <c r="G27" s="84">
        <f aca="true" t="shared" si="6" ref="G27:G33">K27-J27</f>
        <v>1921.1646905235377</v>
      </c>
      <c r="H27" s="84">
        <v>577.43</v>
      </c>
      <c r="I27" s="84">
        <f aca="true" t="shared" si="7" ref="I27:I35">G27-H27</f>
        <v>1343.7346905235377</v>
      </c>
      <c r="J27" s="84">
        <f>(80.225792+0.085525+15.875468+0.265703)*2.204622</f>
        <v>212.64127699953602</v>
      </c>
      <c r="K27" s="84">
        <f aca="true" t="shared" si="8" ref="K27:K33">E27-L27</f>
        <v>2133.805967523074</v>
      </c>
      <c r="L27" s="84">
        <f>1300.36+325.863</f>
        <v>1626.223</v>
      </c>
    </row>
    <row r="28" spans="1:12" ht="14.25">
      <c r="A28" s="45" t="s">
        <v>59</v>
      </c>
      <c r="B28" s="84">
        <f aca="true" t="shared" si="9" ref="B28:B33">L27</f>
        <v>1626.223</v>
      </c>
      <c r="C28" s="63">
        <v>1977.005</v>
      </c>
      <c r="D28" s="84">
        <f>(0.66927+0+9.3206+0.0008)*2.204622</f>
        <v>22.02565087674</v>
      </c>
      <c r="E28" s="84">
        <f t="shared" si="5"/>
        <v>3625.2536508767403</v>
      </c>
      <c r="F28" s="84"/>
      <c r="G28" s="84">
        <f t="shared" si="6"/>
        <v>1802.5259723672164</v>
      </c>
      <c r="H28" s="84">
        <v>590.8</v>
      </c>
      <c r="I28" s="84">
        <f t="shared" si="7"/>
        <v>1211.7259723672164</v>
      </c>
      <c r="J28" s="84">
        <f>(41.937459+0.208519+17.592609+0.202155)*2.204622</f>
        <v>132.14667850952398</v>
      </c>
      <c r="K28" s="84">
        <f t="shared" si="8"/>
        <v>1934.6726508767404</v>
      </c>
      <c r="L28" s="84">
        <f>1379.223+311.358</f>
        <v>1690.581</v>
      </c>
    </row>
    <row r="29" spans="1:12" ht="14.25">
      <c r="A29" s="45" t="s">
        <v>60</v>
      </c>
      <c r="B29" s="84">
        <f t="shared" si="9"/>
        <v>1690.581</v>
      </c>
      <c r="C29" s="63">
        <v>2015.256</v>
      </c>
      <c r="D29" s="84">
        <f>(0.611691+0+13.538281+0.0008)*2.204622</f>
        <v>31.197103268184</v>
      </c>
      <c r="E29" s="84">
        <f t="shared" si="5"/>
        <v>3737.034103268184</v>
      </c>
      <c r="F29" s="84"/>
      <c r="G29" s="84">
        <f t="shared" si="6"/>
        <v>1613.4431539013021</v>
      </c>
      <c r="H29" s="84">
        <v>593.99</v>
      </c>
      <c r="I29" s="84">
        <f t="shared" si="7"/>
        <v>1019.4531539013021</v>
      </c>
      <c r="J29" s="84">
        <f>(60.89152+0.230156+17.166633+0.145522)*2.204622</f>
        <v>172.916949366882</v>
      </c>
      <c r="K29" s="84">
        <f t="shared" si="8"/>
        <v>1786.360103268184</v>
      </c>
      <c r="L29" s="84">
        <f>1583.544+367.13</f>
        <v>1950.674</v>
      </c>
    </row>
    <row r="30" spans="1:12" ht="14.25">
      <c r="A30" s="45" t="s">
        <v>61</v>
      </c>
      <c r="B30" s="84">
        <f t="shared" si="9"/>
        <v>1950.674</v>
      </c>
      <c r="C30" s="63">
        <v>1995.589</v>
      </c>
      <c r="D30" s="84">
        <f>(0.671011+0.001728+9.360229+0)*2.204622</f>
        <v>22.118901978096</v>
      </c>
      <c r="E30" s="84">
        <f t="shared" si="5"/>
        <v>3968.381901978096</v>
      </c>
      <c r="F30" s="84"/>
      <c r="G30" s="84">
        <f t="shared" si="6"/>
        <v>1547.9299381743697</v>
      </c>
      <c r="H30" s="84">
        <v>462.12</v>
      </c>
      <c r="I30" s="84">
        <f t="shared" si="7"/>
        <v>1085.8099381743696</v>
      </c>
      <c r="J30" s="84">
        <f>(67.939406+0.153133+13.644+0.213094)*2.204622</f>
        <v>180.66796380372602</v>
      </c>
      <c r="K30" s="84">
        <f t="shared" si="8"/>
        <v>1728.5979019780957</v>
      </c>
      <c r="L30" s="84">
        <f>1886.728+353.056</f>
        <v>2239.784</v>
      </c>
    </row>
    <row r="31" spans="1:12" ht="14.25">
      <c r="A31" s="45" t="s">
        <v>62</v>
      </c>
      <c r="B31" s="84">
        <f t="shared" si="9"/>
        <v>2239.784</v>
      </c>
      <c r="C31" s="63">
        <v>1889.841</v>
      </c>
      <c r="D31" s="84">
        <f>(10.974745+0+7.681166+0.0008)*2.204622</f>
        <v>41.130995518242</v>
      </c>
      <c r="E31" s="84">
        <f t="shared" si="5"/>
        <v>4170.755995518242</v>
      </c>
      <c r="F31" s="84"/>
      <c r="G31" s="84">
        <f t="shared" si="6"/>
        <v>1564.2792080768288</v>
      </c>
      <c r="H31" s="84">
        <v>495.59</v>
      </c>
      <c r="I31" s="84">
        <f t="shared" si="7"/>
        <v>1068.689208076829</v>
      </c>
      <c r="J31" s="84">
        <f>(68.827952+0.142344+12.955662+0.217279)*2.204622</f>
        <v>181.094787441414</v>
      </c>
      <c r="K31" s="84">
        <f t="shared" si="8"/>
        <v>1745.3739955182427</v>
      </c>
      <c r="L31" s="84">
        <f>2049.644+375.738</f>
        <v>2425.3819999999996</v>
      </c>
    </row>
    <row r="32" spans="1:12" ht="14.25">
      <c r="A32" s="45" t="s">
        <v>63</v>
      </c>
      <c r="B32" s="84">
        <f t="shared" si="9"/>
        <v>2425.3819999999996</v>
      </c>
      <c r="C32" s="63">
        <v>2079.123</v>
      </c>
      <c r="D32" s="84">
        <f>(1.613442+0+7.947498+0.0008)*2.204622</f>
        <v>21.08002236228</v>
      </c>
      <c r="E32" s="84">
        <f t="shared" si="5"/>
        <v>4525.585022362279</v>
      </c>
      <c r="F32" s="84"/>
      <c r="G32" s="84">
        <f t="shared" si="6"/>
        <v>1879.5722664204213</v>
      </c>
      <c r="H32" s="84">
        <v>624.15</v>
      </c>
      <c r="I32" s="84">
        <f t="shared" si="7"/>
        <v>1255.4222664204212</v>
      </c>
      <c r="J32" s="84">
        <f>(62.563038+0.255788+28.340078+0.253935)*2.204622</f>
        <v>201.53075594185802</v>
      </c>
      <c r="K32" s="84">
        <f t="shared" si="8"/>
        <v>2081.1030223622793</v>
      </c>
      <c r="L32" s="84">
        <f>2080.138+364.344</f>
        <v>2444.482</v>
      </c>
    </row>
    <row r="33" spans="1:12" ht="14.25">
      <c r="A33" s="45" t="s">
        <v>64</v>
      </c>
      <c r="B33" s="84">
        <f t="shared" si="9"/>
        <v>2444.482</v>
      </c>
      <c r="C33" s="63">
        <v>1964.922</v>
      </c>
      <c r="D33" s="84">
        <f>(0.567115+0.103249+12.3464+0)*2.204622</f>
        <v>28.697044283207997</v>
      </c>
      <c r="E33" s="84">
        <f t="shared" si="5"/>
        <v>4438.1010442832085</v>
      </c>
      <c r="F33" s="84"/>
      <c r="G33" s="84">
        <f t="shared" si="6"/>
        <v>1537.0046059233325</v>
      </c>
      <c r="H33" s="84">
        <v>519.56</v>
      </c>
      <c r="I33" s="84">
        <f t="shared" si="7"/>
        <v>1017.4446059233326</v>
      </c>
      <c r="J33" s="84">
        <f>(74.547873+0.133339+21.342471+0.283275)*2.204622</f>
        <v>212.32043835987602</v>
      </c>
      <c r="K33" s="84">
        <f t="shared" si="8"/>
        <v>1749.3250442832086</v>
      </c>
      <c r="L33" s="84">
        <f>2316.192+372.584</f>
        <v>2688.776</v>
      </c>
    </row>
    <row r="34" spans="1:12" ht="14.25">
      <c r="A34" s="45" t="s">
        <v>65</v>
      </c>
      <c r="B34" s="84">
        <f>L33</f>
        <v>2688.776</v>
      </c>
      <c r="C34" s="63">
        <v>1966.511</v>
      </c>
      <c r="D34" s="84">
        <f>(0.754842+0+14.709869+0.00128)*2.204622</f>
        <v>34.096664010402</v>
      </c>
      <c r="E34" s="84">
        <f>SUM(B34:D34)</f>
        <v>4689.383664010402</v>
      </c>
      <c r="F34" s="84"/>
      <c r="G34" s="84">
        <f>K34-J34</f>
        <v>1883.9005750484957</v>
      </c>
      <c r="H34" s="84">
        <v>581.33</v>
      </c>
      <c r="I34" s="84">
        <f t="shared" si="7"/>
        <v>1302.5705750484958</v>
      </c>
      <c r="J34" s="84">
        <f>(171.049084+0.572188+23.792737+0.275814)*2.204622</f>
        <v>431.422088961906</v>
      </c>
      <c r="K34" s="84">
        <f>E34-L34</f>
        <v>2315.3226640104017</v>
      </c>
      <c r="L34" s="84">
        <f>2002.934+371.127</f>
        <v>2374.061</v>
      </c>
    </row>
    <row r="35" spans="1:12" ht="14.25">
      <c r="A35" s="45" t="s">
        <v>66</v>
      </c>
      <c r="B35" s="84">
        <f>L34</f>
        <v>2374.061</v>
      </c>
      <c r="C35" s="63">
        <v>1936.907</v>
      </c>
      <c r="D35" s="84">
        <f>(2.305083+0+12.102798+0.0008)*2.204622</f>
        <v>31.765695123582</v>
      </c>
      <c r="E35" s="84">
        <f>SUM(B35:D35)</f>
        <v>4342.733695123582</v>
      </c>
      <c r="F35" s="84"/>
      <c r="G35" s="84">
        <f>K35-J35</f>
        <v>1809.597328870434</v>
      </c>
      <c r="H35" s="84">
        <v>623.61</v>
      </c>
      <c r="I35" s="84">
        <f t="shared" si="7"/>
        <v>1185.9873288704339</v>
      </c>
      <c r="J35" s="84">
        <f>(86.703348+0.094936+16.432424+0.337326)*2.204622</f>
        <v>228.32836625314803</v>
      </c>
      <c r="K35" s="84">
        <f>E35-L35</f>
        <v>2037.925695123582</v>
      </c>
      <c r="L35" s="84">
        <f>1933.152+371.656</f>
        <v>2304.808</v>
      </c>
    </row>
    <row r="36" spans="1:12" ht="14.25">
      <c r="A36" s="45" t="s">
        <v>68</v>
      </c>
      <c r="B36" s="84">
        <f>L35</f>
        <v>2304.808</v>
      </c>
      <c r="C36" s="63">
        <v>2043.323</v>
      </c>
      <c r="D36" s="84">
        <f>(2.90045+0+11.937917+0.0018)*2.204622</f>
        <v>32.716958651874</v>
      </c>
      <c r="E36" s="84">
        <f>SUM(B36:D36)</f>
        <v>4380.847958651874</v>
      </c>
      <c r="F36" s="84"/>
      <c r="G36" s="84">
        <f>K36-J36</f>
        <v>1822.5137116086942</v>
      </c>
      <c r="H36" s="84" t="s">
        <v>10</v>
      </c>
      <c r="I36" s="84" t="s">
        <v>10</v>
      </c>
      <c r="J36" s="84">
        <f>(61.380449+0.164409+17.366248+0.346584)*2.204622</f>
        <v>174.73324704318</v>
      </c>
      <c r="K36" s="84">
        <f>E36-L36</f>
        <v>1997.2469586518741</v>
      </c>
      <c r="L36" s="84">
        <f>1983.666+399.935</f>
        <v>2383.601</v>
      </c>
    </row>
    <row r="37" spans="1:12" ht="14.25">
      <c r="A37" s="41" t="s">
        <v>122</v>
      </c>
      <c r="B37" s="91"/>
      <c r="C37" s="72">
        <f>SUM(C27:C36)</f>
        <v>19885.365</v>
      </c>
      <c r="D37" s="72">
        <f>SUM(D27:D36)</f>
        <v>297.01600359568204</v>
      </c>
      <c r="E37" s="72">
        <f>B27+C37+D37</f>
        <v>21893.335003595686</v>
      </c>
      <c r="F37" s="91"/>
      <c r="G37" s="72">
        <f>SUM(G27:G36)</f>
        <v>17381.93145091463</v>
      </c>
      <c r="H37" s="72">
        <f>SUM(H27:H36)</f>
        <v>5068.58</v>
      </c>
      <c r="I37" s="72">
        <f>SUM(I27:I36)</f>
        <v>10490.837739305938</v>
      </c>
      <c r="J37" s="72">
        <f>SUM(J27:J36)</f>
        <v>2127.80255268105</v>
      </c>
      <c r="K37" s="72">
        <f>SUM(K27:K36)</f>
        <v>19509.734003595684</v>
      </c>
      <c r="L37" s="91"/>
    </row>
    <row r="38" spans="1:12" ht="16.5">
      <c r="A38" s="88" t="s">
        <v>134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4.25">
      <c r="A39" s="42" t="s">
        <v>133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4.25">
      <c r="A40" s="42" t="s">
        <v>26</v>
      </c>
      <c r="B40" s="80">
        <f ca="1">NOW()</f>
        <v>43357.319098148146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7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  <c r="N1" s="42"/>
      <c r="O1" s="42"/>
    </row>
    <row r="2" spans="1:15" ht="14.25">
      <c r="A2" s="42"/>
      <c r="B2" s="154" t="s">
        <v>0</v>
      </c>
      <c r="C2" s="154"/>
      <c r="D2" s="154"/>
      <c r="E2" s="154"/>
      <c r="F2" s="92"/>
      <c r="G2" s="154" t="s">
        <v>24</v>
      </c>
      <c r="H2" s="154"/>
      <c r="I2" s="154"/>
      <c r="J2" s="154"/>
      <c r="K2" s="92"/>
      <c r="L2" s="42"/>
      <c r="M2" s="42"/>
      <c r="N2" s="42"/>
      <c r="O2" s="42"/>
    </row>
    <row r="3" spans="1:15" ht="14.25">
      <c r="A3" s="42" t="s">
        <v>84</v>
      </c>
      <c r="B3" s="46" t="s">
        <v>36</v>
      </c>
      <c r="C3" s="46"/>
      <c r="D3" s="46"/>
      <c r="E3" s="46"/>
      <c r="F3" s="93"/>
      <c r="G3" s="46"/>
      <c r="H3" s="46"/>
      <c r="I3" s="46"/>
      <c r="J3" s="46"/>
      <c r="K3" s="44" t="s">
        <v>34</v>
      </c>
      <c r="L3" s="42"/>
      <c r="M3" s="42"/>
      <c r="N3" s="42"/>
      <c r="O3" s="42"/>
    </row>
    <row r="4" spans="1:15" ht="14.25">
      <c r="A4" s="47" t="s">
        <v>86</v>
      </c>
      <c r="B4" s="49" t="s">
        <v>54</v>
      </c>
      <c r="C4" s="94" t="s">
        <v>1</v>
      </c>
      <c r="D4" s="51" t="s">
        <v>37</v>
      </c>
      <c r="E4" s="49" t="s">
        <v>96</v>
      </c>
      <c r="F4" s="50"/>
      <c r="G4" s="49" t="s">
        <v>40</v>
      </c>
      <c r="H4" s="49" t="s">
        <v>4</v>
      </c>
      <c r="I4" s="49" t="s">
        <v>41</v>
      </c>
      <c r="J4" s="49" t="s">
        <v>38</v>
      </c>
      <c r="K4" s="49" t="s">
        <v>33</v>
      </c>
      <c r="L4" s="42"/>
      <c r="M4" s="42"/>
      <c r="N4" s="42"/>
      <c r="O4" s="42"/>
    </row>
    <row r="5" spans="1:15" ht="14.25">
      <c r="A5" s="42"/>
      <c r="B5" s="153" t="s">
        <v>18</v>
      </c>
      <c r="C5" s="153"/>
      <c r="D5" s="153"/>
      <c r="E5" s="153"/>
      <c r="F5" s="153"/>
      <c r="G5" s="153"/>
      <c r="H5" s="153"/>
      <c r="I5" s="153"/>
      <c r="J5" s="153"/>
      <c r="K5" s="153"/>
      <c r="L5" s="42"/>
      <c r="M5" s="42"/>
      <c r="N5" s="42"/>
      <c r="O5" s="42"/>
    </row>
    <row r="6" spans="1:15" ht="14.25">
      <c r="A6" s="42"/>
      <c r="B6" s="42"/>
      <c r="C6" s="42"/>
      <c r="D6" s="42"/>
      <c r="E6" s="42"/>
      <c r="F6" s="42"/>
      <c r="G6" s="89"/>
      <c r="H6" s="95"/>
      <c r="I6" s="89"/>
      <c r="J6" s="89"/>
      <c r="K6" s="42"/>
      <c r="L6" s="42"/>
      <c r="M6" s="42"/>
      <c r="N6" s="42"/>
      <c r="O6" s="42"/>
    </row>
    <row r="7" spans="1:15" ht="16.5">
      <c r="A7" s="42" t="s">
        <v>128</v>
      </c>
      <c r="B7" s="96">
        <v>391</v>
      </c>
      <c r="C7" s="96">
        <v>5369</v>
      </c>
      <c r="D7" s="97">
        <v>51.079</v>
      </c>
      <c r="E7" s="96">
        <f>+B7+C7+D7</f>
        <v>5811.079</v>
      </c>
      <c r="F7" s="57"/>
      <c r="G7" s="96">
        <v>1769.4399999999998</v>
      </c>
      <c r="H7" s="98">
        <v>341.655</v>
      </c>
      <c r="I7" s="96">
        <f>J7-G7-H7</f>
        <v>3299.9840000000004</v>
      </c>
      <c r="J7" s="96">
        <f>E7-K7</f>
        <v>5411.079</v>
      </c>
      <c r="K7" s="96">
        <v>400</v>
      </c>
      <c r="L7" s="42"/>
      <c r="M7" s="42"/>
      <c r="N7" s="42"/>
      <c r="O7" s="42"/>
    </row>
    <row r="8" spans="1:15" ht="16.5">
      <c r="A8" s="42" t="s">
        <v>129</v>
      </c>
      <c r="B8" s="96">
        <f>+K7</f>
        <v>400</v>
      </c>
      <c r="C8" s="96">
        <v>6422</v>
      </c>
      <c r="D8" s="97">
        <v>0</v>
      </c>
      <c r="E8" s="96">
        <f>+B8+C8+D8</f>
        <v>6822</v>
      </c>
      <c r="F8" s="57"/>
      <c r="G8" s="96">
        <v>1853.576</v>
      </c>
      <c r="H8" s="98">
        <v>478.385</v>
      </c>
      <c r="I8" s="96">
        <f>J8-G8-H8</f>
        <v>4040.0389999999998</v>
      </c>
      <c r="J8" s="96">
        <f>E8-K8</f>
        <v>6372</v>
      </c>
      <c r="K8" s="96">
        <v>450</v>
      </c>
      <c r="L8" s="42"/>
      <c r="M8" s="42"/>
      <c r="N8" s="42"/>
      <c r="O8" s="42"/>
    </row>
    <row r="9" spans="1:15" ht="16.5">
      <c r="A9" s="41" t="s">
        <v>170</v>
      </c>
      <c r="B9" s="99">
        <f>+K8</f>
        <v>450</v>
      </c>
      <c r="C9" s="99">
        <v>6156</v>
      </c>
      <c r="D9" s="100">
        <v>0</v>
      </c>
      <c r="E9" s="99">
        <f>+B9+C9+D9</f>
        <v>6606</v>
      </c>
      <c r="F9" s="101"/>
      <c r="G9" s="99">
        <v>1900</v>
      </c>
      <c r="H9" s="102">
        <v>425</v>
      </c>
      <c r="I9" s="99">
        <f>J9-G9-H9</f>
        <v>3871</v>
      </c>
      <c r="J9" s="99">
        <f>E9-K9</f>
        <v>6196</v>
      </c>
      <c r="K9" s="99">
        <v>410</v>
      </c>
      <c r="L9" s="42"/>
      <c r="M9" s="42"/>
      <c r="N9" s="42"/>
      <c r="O9" s="42"/>
    </row>
    <row r="10" spans="1:15" ht="16.5">
      <c r="A10" s="88" t="s">
        <v>135</v>
      </c>
      <c r="B10" s="42"/>
      <c r="C10" s="57"/>
      <c r="D10" s="57"/>
      <c r="E10" s="57"/>
      <c r="F10" s="57"/>
      <c r="G10" s="57"/>
      <c r="H10" s="57"/>
      <c r="I10" s="57"/>
      <c r="J10" s="57"/>
      <c r="K10" s="42"/>
      <c r="L10" s="42"/>
      <c r="M10" s="42"/>
      <c r="N10" s="42"/>
      <c r="O10" s="42"/>
    </row>
    <row r="11" spans="1:15" ht="14.25">
      <c r="A11" s="42" t="s">
        <v>136</v>
      </c>
      <c r="B11" s="58"/>
      <c r="C11" s="62"/>
      <c r="D11" s="42"/>
      <c r="E11" s="58"/>
      <c r="F11" s="58"/>
      <c r="G11" s="58"/>
      <c r="H11" s="58"/>
      <c r="I11" s="58"/>
      <c r="J11" s="58"/>
      <c r="K11" s="42"/>
      <c r="L11" s="42"/>
      <c r="M11" s="42"/>
      <c r="N11" s="42"/>
      <c r="O11" s="42"/>
    </row>
    <row r="12" spans="1:15" ht="14.25">
      <c r="A12" s="42" t="s">
        <v>137</v>
      </c>
      <c r="B12" s="58"/>
      <c r="C12" s="62"/>
      <c r="D12" s="42"/>
      <c r="E12" s="58"/>
      <c r="F12" s="58"/>
      <c r="G12" s="58"/>
      <c r="H12" s="58"/>
      <c r="I12" s="58"/>
      <c r="J12" s="58"/>
      <c r="K12" s="42"/>
      <c r="L12" s="42"/>
      <c r="M12" s="42"/>
      <c r="N12" s="42"/>
      <c r="O12" s="42"/>
    </row>
    <row r="13" spans="1:15" ht="14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4.25">
      <c r="A14" s="41" t="s">
        <v>12</v>
      </c>
      <c r="B14" s="41"/>
      <c r="C14" s="41"/>
      <c r="D14" s="41"/>
      <c r="E14" s="41"/>
      <c r="F14" s="41"/>
      <c r="G14" s="41"/>
      <c r="H14" s="41"/>
      <c r="I14" s="42"/>
      <c r="J14" s="41"/>
      <c r="K14" s="42"/>
      <c r="L14" s="42"/>
      <c r="M14" s="42"/>
      <c r="N14" s="42"/>
      <c r="O14" s="42"/>
    </row>
    <row r="15" spans="1:15" ht="14.25">
      <c r="A15" s="42"/>
      <c r="B15" s="154" t="s">
        <v>0</v>
      </c>
      <c r="C15" s="154"/>
      <c r="D15" s="154"/>
      <c r="E15" s="154"/>
      <c r="F15" s="42"/>
      <c r="G15" s="154" t="s">
        <v>24</v>
      </c>
      <c r="H15" s="154"/>
      <c r="I15" s="154"/>
      <c r="J15" s="42"/>
      <c r="K15" s="42"/>
      <c r="L15" s="42"/>
      <c r="M15" s="42"/>
      <c r="N15" s="42"/>
      <c r="O15" s="42"/>
    </row>
    <row r="16" spans="1:15" ht="14.25">
      <c r="A16" s="42" t="s">
        <v>84</v>
      </c>
      <c r="B16" s="44" t="s">
        <v>36</v>
      </c>
      <c r="C16" s="46"/>
      <c r="D16" s="46"/>
      <c r="E16" s="46"/>
      <c r="F16" s="46"/>
      <c r="G16" s="46"/>
      <c r="H16" s="46"/>
      <c r="I16" s="46"/>
      <c r="J16" s="44" t="s">
        <v>34</v>
      </c>
      <c r="K16" s="42"/>
      <c r="L16" s="42"/>
      <c r="M16" s="42"/>
      <c r="N16" s="42"/>
      <c r="O16" s="42"/>
    </row>
    <row r="17" spans="1:15" ht="14.25">
      <c r="A17" s="47" t="s">
        <v>85</v>
      </c>
      <c r="B17" s="49" t="s">
        <v>33</v>
      </c>
      <c r="C17" s="94" t="s">
        <v>1</v>
      </c>
      <c r="D17" s="51" t="s">
        <v>37</v>
      </c>
      <c r="E17" s="49" t="s">
        <v>38</v>
      </c>
      <c r="F17" s="50"/>
      <c r="G17" s="103" t="s">
        <v>9</v>
      </c>
      <c r="H17" s="49" t="s">
        <v>4</v>
      </c>
      <c r="I17" s="51" t="s">
        <v>32</v>
      </c>
      <c r="J17" s="49" t="s">
        <v>33</v>
      </c>
      <c r="K17" s="42"/>
      <c r="L17" s="42"/>
      <c r="M17" s="42"/>
      <c r="N17" s="42"/>
      <c r="O17" s="42"/>
    </row>
    <row r="18" spans="1:15" ht="14.25">
      <c r="A18" s="42"/>
      <c r="B18" s="153" t="s">
        <v>19</v>
      </c>
      <c r="C18" s="153"/>
      <c r="D18" s="153"/>
      <c r="E18" s="153"/>
      <c r="F18" s="153"/>
      <c r="G18" s="153"/>
      <c r="H18" s="153"/>
      <c r="I18" s="153"/>
      <c r="J18" s="153"/>
      <c r="K18" s="42"/>
      <c r="L18" s="42"/>
      <c r="M18" s="42"/>
      <c r="N18" s="42"/>
      <c r="O18" s="42"/>
    </row>
    <row r="19" spans="1:15" ht="14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16.5">
      <c r="A20" s="42" t="s">
        <v>128</v>
      </c>
      <c r="B20" s="96">
        <v>19.676</v>
      </c>
      <c r="C20" s="98">
        <v>805.2929999999999</v>
      </c>
      <c r="D20" s="97">
        <v>0</v>
      </c>
      <c r="E20" s="98">
        <f>+B20+D20+C20</f>
        <v>824.9689999999999</v>
      </c>
      <c r="F20" s="42"/>
      <c r="G20" s="98">
        <f>+I20-H20</f>
        <v>687.0128503574739</v>
      </c>
      <c r="H20" s="98">
        <v>110.22014964252601</v>
      </c>
      <c r="I20" s="98">
        <f>+E20-J20</f>
        <v>797.233</v>
      </c>
      <c r="J20" s="96">
        <v>27.736</v>
      </c>
      <c r="K20" s="42"/>
      <c r="L20" s="42"/>
      <c r="M20" s="42"/>
      <c r="N20" s="42"/>
      <c r="O20" s="42"/>
    </row>
    <row r="21" spans="1:15" ht="16.5">
      <c r="A21" s="42" t="s">
        <v>129</v>
      </c>
      <c r="B21" s="96">
        <f>+J20</f>
        <v>27.736</v>
      </c>
      <c r="C21" s="98">
        <v>835</v>
      </c>
      <c r="D21" s="97">
        <v>0</v>
      </c>
      <c r="E21" s="98">
        <f>+B21+D21+C21</f>
        <v>862.736</v>
      </c>
      <c r="F21" s="42"/>
      <c r="G21" s="98">
        <f>+I21-H21</f>
        <v>697.736</v>
      </c>
      <c r="H21" s="98">
        <v>125</v>
      </c>
      <c r="I21" s="98">
        <f>+E21-J21</f>
        <v>822.736</v>
      </c>
      <c r="J21" s="96">
        <v>40</v>
      </c>
      <c r="K21" s="42"/>
      <c r="L21" s="42"/>
      <c r="M21" s="42"/>
      <c r="N21" s="42"/>
      <c r="O21" s="42"/>
    </row>
    <row r="22" spans="1:15" ht="16.5">
      <c r="A22" s="41" t="s">
        <v>170</v>
      </c>
      <c r="B22" s="99">
        <f>+J21</f>
        <v>40</v>
      </c>
      <c r="C22" s="102">
        <v>855</v>
      </c>
      <c r="D22" s="100">
        <v>0</v>
      </c>
      <c r="E22" s="102">
        <f>+B22+D22+C22</f>
        <v>895</v>
      </c>
      <c r="F22" s="101"/>
      <c r="G22" s="102">
        <f>+I22-H22</f>
        <v>735</v>
      </c>
      <c r="H22" s="102">
        <v>120</v>
      </c>
      <c r="I22" s="102">
        <f>+E22-J22</f>
        <v>855</v>
      </c>
      <c r="J22" s="99">
        <v>40</v>
      </c>
      <c r="K22" s="42"/>
      <c r="L22" s="42"/>
      <c r="M22" s="42"/>
      <c r="N22" s="42"/>
      <c r="O22" s="42"/>
    </row>
    <row r="23" spans="1:15" ht="16.5">
      <c r="A23" s="88" t="s">
        <v>135</v>
      </c>
      <c r="B23" s="42"/>
      <c r="C23" s="57"/>
      <c r="D23" s="57"/>
      <c r="E23" s="57"/>
      <c r="F23" s="57"/>
      <c r="G23" s="57"/>
      <c r="H23" s="57"/>
      <c r="I23" s="42"/>
      <c r="J23" s="42"/>
      <c r="K23" s="42"/>
      <c r="L23" s="42"/>
      <c r="M23" s="42"/>
      <c r="N23" s="42"/>
      <c r="O23" s="42"/>
    </row>
    <row r="24" spans="1:15" ht="14.25">
      <c r="A24" s="42" t="s">
        <v>138</v>
      </c>
      <c r="B24" s="104"/>
      <c r="C24" s="104"/>
      <c r="D24" s="104"/>
      <c r="E24" s="104"/>
      <c r="F24" s="104"/>
      <c r="G24" s="104"/>
      <c r="H24" s="104"/>
      <c r="I24" s="42"/>
      <c r="J24" s="42"/>
      <c r="K24" s="42"/>
      <c r="L24" s="42"/>
      <c r="M24" s="42"/>
      <c r="N24" s="42"/>
      <c r="O24" s="42"/>
    </row>
    <row r="25" spans="1:15" ht="14.25">
      <c r="A25" s="45"/>
      <c r="B25" s="58"/>
      <c r="C25" s="58"/>
      <c r="D25" s="58"/>
      <c r="E25" s="58"/>
      <c r="F25" s="58"/>
      <c r="G25" s="58"/>
      <c r="H25" s="58"/>
      <c r="I25" s="42"/>
      <c r="J25" s="42"/>
      <c r="K25" s="42"/>
      <c r="L25" s="42"/>
      <c r="M25" s="42"/>
      <c r="N25" s="42"/>
      <c r="O25" s="42"/>
    </row>
    <row r="26" spans="1:15" ht="14.25">
      <c r="A26" s="45"/>
      <c r="B26" s="58"/>
      <c r="C26" s="62"/>
      <c r="D26" s="58"/>
      <c r="E26" s="58"/>
      <c r="F26" s="58"/>
      <c r="G26" s="58"/>
      <c r="H26" s="58"/>
      <c r="I26" s="42"/>
      <c r="J26" s="42"/>
      <c r="K26" s="42"/>
      <c r="L26" s="42"/>
      <c r="M26" s="42"/>
      <c r="N26" s="42"/>
      <c r="O26" s="42"/>
    </row>
    <row r="27" spans="1:15" ht="14.25">
      <c r="A27" s="41" t="s">
        <v>13</v>
      </c>
      <c r="B27" s="41"/>
      <c r="C27" s="41"/>
      <c r="D27" s="41"/>
      <c r="E27" s="41"/>
      <c r="F27" s="41"/>
      <c r="G27" s="41"/>
      <c r="H27" s="41"/>
      <c r="I27" s="42"/>
      <c r="J27" s="41"/>
      <c r="K27" s="42"/>
      <c r="L27" s="42"/>
      <c r="M27" s="42"/>
      <c r="N27" s="42"/>
      <c r="O27" s="42"/>
    </row>
    <row r="28" spans="1:15" ht="14.25">
      <c r="A28" s="42"/>
      <c r="B28" s="154" t="s">
        <v>0</v>
      </c>
      <c r="C28" s="154"/>
      <c r="D28" s="154"/>
      <c r="E28" s="154"/>
      <c r="F28" s="42"/>
      <c r="G28" s="154" t="s">
        <v>24</v>
      </c>
      <c r="H28" s="154"/>
      <c r="I28" s="154"/>
      <c r="J28" s="42"/>
      <c r="K28" s="42"/>
      <c r="L28" s="42"/>
      <c r="M28" s="42"/>
      <c r="N28" s="42"/>
      <c r="O28" s="42"/>
    </row>
    <row r="29" spans="1:15" ht="14.25">
      <c r="A29" s="42" t="s">
        <v>84</v>
      </c>
      <c r="B29" s="44" t="s">
        <v>36</v>
      </c>
      <c r="C29" s="46"/>
      <c r="D29" s="46"/>
      <c r="E29" s="46"/>
      <c r="F29" s="46"/>
      <c r="G29" s="46"/>
      <c r="H29" s="46"/>
      <c r="I29" s="46"/>
      <c r="J29" s="44" t="s">
        <v>34</v>
      </c>
      <c r="K29" s="42"/>
      <c r="L29" s="42"/>
      <c r="M29" s="42"/>
      <c r="N29" s="42"/>
      <c r="O29" s="42"/>
    </row>
    <row r="30" spans="1:15" ht="14.25">
      <c r="A30" s="47" t="s">
        <v>85</v>
      </c>
      <c r="B30" s="49" t="s">
        <v>33</v>
      </c>
      <c r="C30" s="49" t="s">
        <v>1</v>
      </c>
      <c r="D30" s="51" t="s">
        <v>37</v>
      </c>
      <c r="E30" s="49" t="s">
        <v>38</v>
      </c>
      <c r="F30" s="50"/>
      <c r="G30" s="49" t="s">
        <v>35</v>
      </c>
      <c r="H30" s="49" t="s">
        <v>4</v>
      </c>
      <c r="I30" s="49" t="s">
        <v>32</v>
      </c>
      <c r="J30" s="49" t="s">
        <v>97</v>
      </c>
      <c r="K30" s="42"/>
      <c r="L30" s="42"/>
      <c r="M30" s="42"/>
      <c r="N30" s="42"/>
      <c r="O30" s="42"/>
    </row>
    <row r="31" spans="1:15" ht="14.25">
      <c r="A31" s="42"/>
      <c r="B31" s="153" t="s">
        <v>20</v>
      </c>
      <c r="C31" s="153"/>
      <c r="D31" s="153"/>
      <c r="E31" s="153"/>
      <c r="F31" s="153"/>
      <c r="G31" s="153"/>
      <c r="H31" s="153"/>
      <c r="I31" s="153"/>
      <c r="J31" s="153"/>
      <c r="K31" s="42"/>
      <c r="L31" s="42"/>
      <c r="M31" s="42"/>
      <c r="N31" s="42"/>
      <c r="O31" s="42"/>
    </row>
    <row r="32" spans="1:15" ht="14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6.5">
      <c r="A33" s="42" t="s">
        <v>128</v>
      </c>
      <c r="B33" s="97">
        <v>41.547</v>
      </c>
      <c r="C33" s="98">
        <v>541.625</v>
      </c>
      <c r="D33" s="97">
        <v>0.121953075174</v>
      </c>
      <c r="E33" s="105">
        <f>+B33+D33+C33</f>
        <v>583.293953075174</v>
      </c>
      <c r="F33" s="42"/>
      <c r="G33" s="98">
        <f>+I33-H33</f>
        <v>435.17942153772003</v>
      </c>
      <c r="H33" s="98">
        <v>103.98553153745401</v>
      </c>
      <c r="I33" s="98">
        <f>+E33-J33</f>
        <v>539.164953075174</v>
      </c>
      <c r="J33" s="106">
        <v>44.129</v>
      </c>
      <c r="K33" s="42"/>
      <c r="L33" s="42"/>
      <c r="M33" s="42"/>
      <c r="N33" s="42"/>
      <c r="O33" s="42"/>
    </row>
    <row r="34" spans="1:15" ht="16.5">
      <c r="A34" s="42" t="s">
        <v>129</v>
      </c>
      <c r="B34" s="97">
        <f>+J33</f>
        <v>44.129</v>
      </c>
      <c r="C34" s="98">
        <v>555</v>
      </c>
      <c r="D34" s="97">
        <v>5</v>
      </c>
      <c r="E34" s="105">
        <f>+B34+D34+C34</f>
        <v>604.129</v>
      </c>
      <c r="F34" s="42"/>
      <c r="G34" s="98">
        <f>+I34-H34</f>
        <v>444.129</v>
      </c>
      <c r="H34" s="98">
        <v>110</v>
      </c>
      <c r="I34" s="98">
        <f>+E34-J34</f>
        <v>554.129</v>
      </c>
      <c r="J34" s="106">
        <v>50</v>
      </c>
      <c r="K34" s="42"/>
      <c r="L34" s="42"/>
      <c r="M34" s="42"/>
      <c r="N34" s="42"/>
      <c r="O34" s="42"/>
    </row>
    <row r="35" spans="1:15" ht="16.5">
      <c r="A35" s="41" t="s">
        <v>170</v>
      </c>
      <c r="B35" s="100">
        <f>+J34</f>
        <v>50</v>
      </c>
      <c r="C35" s="102">
        <v>590</v>
      </c>
      <c r="D35" s="100">
        <v>5</v>
      </c>
      <c r="E35" s="107">
        <f>+B35+D35+C35</f>
        <v>645</v>
      </c>
      <c r="F35" s="101"/>
      <c r="G35" s="102">
        <f>+I35-H35</f>
        <v>495</v>
      </c>
      <c r="H35" s="102">
        <v>100</v>
      </c>
      <c r="I35" s="102">
        <f>+E35-J35</f>
        <v>595</v>
      </c>
      <c r="J35" s="102">
        <v>50</v>
      </c>
      <c r="K35" s="42"/>
      <c r="L35" s="42"/>
      <c r="M35" s="42"/>
      <c r="N35" s="42"/>
      <c r="O35" s="42"/>
    </row>
    <row r="36" spans="1:15" ht="16.5">
      <c r="A36" s="88" t="s">
        <v>135</v>
      </c>
      <c r="B36" s="42"/>
      <c r="C36" s="57"/>
      <c r="D36" s="57"/>
      <c r="E36" s="57"/>
      <c r="F36" s="57"/>
      <c r="G36" s="57"/>
      <c r="H36" s="57"/>
      <c r="I36" s="42"/>
      <c r="J36" s="42"/>
      <c r="K36" s="42"/>
      <c r="L36" s="42"/>
      <c r="M36" s="42"/>
      <c r="N36" s="42"/>
      <c r="O36" s="42"/>
    </row>
    <row r="37" spans="1:15" ht="14.25">
      <c r="A37" s="42" t="s">
        <v>139</v>
      </c>
      <c r="B37" s="58"/>
      <c r="C37" s="62"/>
      <c r="D37" s="58"/>
      <c r="E37" s="58"/>
      <c r="F37" s="58"/>
      <c r="G37" s="58"/>
      <c r="H37" s="58"/>
      <c r="I37" s="42"/>
      <c r="J37" s="42"/>
      <c r="K37" s="42"/>
      <c r="L37" s="42"/>
      <c r="M37" s="42"/>
      <c r="N37" s="42"/>
      <c r="O37" s="42"/>
    </row>
    <row r="38" spans="1:15" ht="14.25">
      <c r="A38" s="45"/>
      <c r="B38" s="45"/>
      <c r="C38" s="45"/>
      <c r="D38" s="45"/>
      <c r="E38" s="45"/>
      <c r="F38" s="45"/>
      <c r="G38" s="45"/>
      <c r="H38" s="45"/>
      <c r="I38" s="42"/>
      <c r="J38" s="42"/>
      <c r="K38" s="42"/>
      <c r="L38" s="42"/>
      <c r="M38" s="42"/>
      <c r="N38" s="42"/>
      <c r="O38" s="42"/>
    </row>
    <row r="39" spans="1:15" ht="14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4.25">
      <c r="A40" s="41" t="s">
        <v>14</v>
      </c>
      <c r="B40" s="41"/>
      <c r="C40" s="41"/>
      <c r="D40" s="41"/>
      <c r="E40" s="41"/>
      <c r="F40" s="41"/>
      <c r="G40" s="41"/>
      <c r="H40" s="41"/>
      <c r="I40" s="41"/>
      <c r="J40" s="42"/>
      <c r="K40" s="42"/>
      <c r="L40" s="42"/>
      <c r="M40" s="42"/>
      <c r="N40" s="42"/>
      <c r="O40" s="41"/>
    </row>
    <row r="41" spans="1:15" ht="14.25">
      <c r="A41" s="42"/>
      <c r="B41" s="154" t="s">
        <v>27</v>
      </c>
      <c r="C41" s="154"/>
      <c r="D41" s="44" t="s">
        <v>30</v>
      </c>
      <c r="E41" s="154" t="s">
        <v>92</v>
      </c>
      <c r="F41" s="154"/>
      <c r="G41" s="154"/>
      <c r="H41" s="154"/>
      <c r="I41" s="42"/>
      <c r="J41" s="154" t="s">
        <v>24</v>
      </c>
      <c r="K41" s="154"/>
      <c r="L41" s="154"/>
      <c r="M41" s="154"/>
      <c r="N41" s="154"/>
      <c r="O41" s="42"/>
    </row>
    <row r="42" spans="1:15" ht="14.25">
      <c r="A42" s="42" t="s">
        <v>84</v>
      </c>
      <c r="B42" s="44" t="s">
        <v>28</v>
      </c>
      <c r="C42" s="44" t="s">
        <v>29</v>
      </c>
      <c r="D42" s="42"/>
      <c r="E42" s="44" t="s">
        <v>36</v>
      </c>
      <c r="F42" s="44"/>
      <c r="G42" s="44"/>
      <c r="H42" s="44"/>
      <c r="I42" s="42"/>
      <c r="J42" s="44" t="s">
        <v>9</v>
      </c>
      <c r="K42" s="44"/>
      <c r="L42" s="44" t="s">
        <v>100</v>
      </c>
      <c r="M42" s="44"/>
      <c r="N42" s="44"/>
      <c r="O42" s="44" t="s">
        <v>34</v>
      </c>
    </row>
    <row r="43" spans="1:15" ht="14.25">
      <c r="A43" s="47" t="s">
        <v>86</v>
      </c>
      <c r="B43" s="48"/>
      <c r="C43" s="48"/>
      <c r="D43" s="48"/>
      <c r="E43" s="49" t="s">
        <v>33</v>
      </c>
      <c r="F43" s="49" t="s">
        <v>1</v>
      </c>
      <c r="G43" s="49" t="s">
        <v>37</v>
      </c>
      <c r="H43" s="49" t="s">
        <v>38</v>
      </c>
      <c r="I43" s="49"/>
      <c r="J43" s="49" t="s">
        <v>42</v>
      </c>
      <c r="K43" s="49" t="s">
        <v>40</v>
      </c>
      <c r="L43" s="49" t="s">
        <v>5</v>
      </c>
      <c r="M43" s="51" t="s">
        <v>4</v>
      </c>
      <c r="N43" s="49" t="s">
        <v>32</v>
      </c>
      <c r="O43" s="49" t="s">
        <v>97</v>
      </c>
    </row>
    <row r="44" spans="1:15" ht="14.25">
      <c r="A44" s="42"/>
      <c r="B44" s="152" t="s">
        <v>94</v>
      </c>
      <c r="C44" s="153"/>
      <c r="D44" s="108" t="s">
        <v>79</v>
      </c>
      <c r="E44" s="153" t="s">
        <v>21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14.25">
      <c r="A45" s="42"/>
      <c r="B45" s="44"/>
      <c r="C45" s="44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6.5">
      <c r="A46" s="42" t="s">
        <v>128</v>
      </c>
      <c r="B46" s="96">
        <v>1671</v>
      </c>
      <c r="C46" s="96">
        <v>1536</v>
      </c>
      <c r="D46" s="96">
        <f>F46*1000/C46</f>
        <v>3633.8346354166665</v>
      </c>
      <c r="E46" s="96">
        <v>1790.905</v>
      </c>
      <c r="F46" s="96">
        <v>5581.57</v>
      </c>
      <c r="G46" s="106">
        <f>1.333*2.204622*55.0974</f>
        <v>161.91809726367242</v>
      </c>
      <c r="H46" s="96">
        <f>+E46+G46+F46</f>
        <v>7534.393097263672</v>
      </c>
      <c r="I46" s="96"/>
      <c r="J46" s="96">
        <v>3086</v>
      </c>
      <c r="K46" s="96">
        <f>1.333*659.966</f>
        <v>879.734678</v>
      </c>
      <c r="L46" s="98">
        <f>+N46-J46-K46-M46</f>
        <v>799.4184849811875</v>
      </c>
      <c r="M46" s="106">
        <f>1.333*2.204622*451.7713</f>
        <v>1327.647934282484</v>
      </c>
      <c r="N46" s="96">
        <f>+H46-O46</f>
        <v>6092.801097263671</v>
      </c>
      <c r="O46" s="96">
        <v>1441.592</v>
      </c>
    </row>
    <row r="47" spans="1:15" ht="16.5">
      <c r="A47" s="42" t="s">
        <v>147</v>
      </c>
      <c r="B47" s="96">
        <v>1870.6</v>
      </c>
      <c r="C47" s="96">
        <v>1775.6</v>
      </c>
      <c r="D47" s="96">
        <f>F47*1000/C47</f>
        <v>4073.8905158819557</v>
      </c>
      <c r="E47" s="96">
        <f>O46</f>
        <v>1441.592</v>
      </c>
      <c r="F47" s="96">
        <v>7233.6</v>
      </c>
      <c r="G47" s="106">
        <v>171.48</v>
      </c>
      <c r="H47" s="96">
        <f>+E47+G47+F47</f>
        <v>8846.672</v>
      </c>
      <c r="I47" s="96"/>
      <c r="J47" s="96">
        <v>3142.09855417996</v>
      </c>
      <c r="K47" s="96">
        <f>1.333*528.75</f>
        <v>704.82375</v>
      </c>
      <c r="L47" s="98">
        <f>+N47-J47-K47-M47</f>
        <v>1009.9586958200405</v>
      </c>
      <c r="M47" s="98">
        <v>1272.711</v>
      </c>
      <c r="N47" s="96">
        <f>+H47-O47</f>
        <v>6129.592000000001</v>
      </c>
      <c r="O47" s="96">
        <v>2717.08</v>
      </c>
    </row>
    <row r="48" spans="1:15" ht="16.5">
      <c r="A48" s="41" t="s">
        <v>170</v>
      </c>
      <c r="B48" s="99">
        <v>1426.5</v>
      </c>
      <c r="C48" s="99">
        <v>1387.5</v>
      </c>
      <c r="D48" s="99">
        <f>F48*1000/C48</f>
        <v>4151.315315315315</v>
      </c>
      <c r="E48" s="99">
        <f>O47</f>
        <v>2717.08</v>
      </c>
      <c r="F48" s="99">
        <v>5759.95</v>
      </c>
      <c r="G48" s="102">
        <v>75</v>
      </c>
      <c r="H48" s="99">
        <f>+E48+G48+F48</f>
        <v>8552.029999999999</v>
      </c>
      <c r="I48" s="99"/>
      <c r="J48" s="99">
        <v>3233</v>
      </c>
      <c r="K48" s="99">
        <v>806</v>
      </c>
      <c r="L48" s="102">
        <f>+N48-J48-K48-M48</f>
        <v>757.0299999999988</v>
      </c>
      <c r="M48" s="102">
        <v>1200</v>
      </c>
      <c r="N48" s="99">
        <f>+H48-O48</f>
        <v>5996.029999999999</v>
      </c>
      <c r="O48" s="99">
        <v>2556</v>
      </c>
    </row>
    <row r="49" spans="1:15" ht="16.5">
      <c r="A49" s="88" t="s">
        <v>135</v>
      </c>
      <c r="B49" s="42"/>
      <c r="C49" s="57"/>
      <c r="D49" s="57"/>
      <c r="E49" s="57"/>
      <c r="F49" s="57"/>
      <c r="G49" s="57"/>
      <c r="H49" s="57"/>
      <c r="I49" s="42"/>
      <c r="J49" s="42"/>
      <c r="K49" s="42"/>
      <c r="L49" s="42"/>
      <c r="M49" s="42"/>
      <c r="N49" s="42"/>
      <c r="O49" s="42"/>
    </row>
    <row r="50" spans="1:15" ht="14.25">
      <c r="A50" s="42" t="s">
        <v>140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4.25">
      <c r="A51" s="42" t="s">
        <v>137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4.25">
      <c r="A52" s="42" t="s">
        <v>26</v>
      </c>
      <c r="B52" s="109">
        <f ca="1">NOW()</f>
        <v>43357.319098148146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1" t="s">
        <v>51</v>
      </c>
      <c r="B1" s="41"/>
      <c r="C1" s="41"/>
      <c r="D1" s="41"/>
      <c r="E1" s="41"/>
      <c r="F1" s="41"/>
      <c r="G1" s="41"/>
      <c r="H1" s="1"/>
      <c r="I1" s="1"/>
      <c r="J1" s="1"/>
      <c r="K1" s="1"/>
    </row>
    <row r="2" spans="1:11" ht="15" customHeight="1">
      <c r="A2" s="45" t="s">
        <v>15</v>
      </c>
      <c r="B2" s="89" t="s">
        <v>141</v>
      </c>
      <c r="C2" s="89" t="s">
        <v>142</v>
      </c>
      <c r="D2" s="89" t="s">
        <v>143</v>
      </c>
      <c r="E2" s="89" t="s">
        <v>144</v>
      </c>
      <c r="F2" s="89" t="s">
        <v>145</v>
      </c>
      <c r="G2" s="89" t="s">
        <v>146</v>
      </c>
      <c r="H2" s="1"/>
      <c r="I2" s="1"/>
      <c r="J2" s="1"/>
      <c r="K2" s="1"/>
    </row>
    <row r="3" spans="1:11" ht="15" customHeight="1">
      <c r="A3" s="41" t="s">
        <v>16</v>
      </c>
      <c r="B3" s="50"/>
      <c r="C3" s="110"/>
      <c r="D3" s="110"/>
      <c r="E3" s="110"/>
      <c r="F3" s="110"/>
      <c r="G3" s="110"/>
      <c r="H3" s="1"/>
      <c r="I3" s="1"/>
      <c r="J3" s="1"/>
      <c r="K3" s="2"/>
    </row>
    <row r="4" spans="1:11" ht="14.25">
      <c r="A4" s="111"/>
      <c r="B4" s="112" t="s">
        <v>77</v>
      </c>
      <c r="C4" s="112" t="s">
        <v>87</v>
      </c>
      <c r="D4" s="112" t="s">
        <v>107</v>
      </c>
      <c r="E4" s="112" t="s">
        <v>50</v>
      </c>
      <c r="F4" s="112" t="s">
        <v>76</v>
      </c>
      <c r="G4" s="112" t="s">
        <v>77</v>
      </c>
      <c r="H4" s="1"/>
      <c r="I4" s="2"/>
      <c r="J4" s="2"/>
      <c r="K4" s="2"/>
    </row>
    <row r="5" spans="1:11" ht="14.25">
      <c r="A5" s="42"/>
      <c r="B5" s="42"/>
      <c r="C5" s="42"/>
      <c r="D5" s="44"/>
      <c r="E5" s="42"/>
      <c r="F5" s="42"/>
      <c r="G5" s="42"/>
      <c r="H5" s="1"/>
      <c r="I5" s="1"/>
      <c r="J5" s="1"/>
      <c r="K5" s="1"/>
    </row>
    <row r="6" spans="1:11" ht="14.25">
      <c r="A6" s="42" t="s">
        <v>53</v>
      </c>
      <c r="B6" s="113">
        <v>9.97</v>
      </c>
      <c r="C6" s="113">
        <v>223</v>
      </c>
      <c r="D6" s="113">
        <v>21.8</v>
      </c>
      <c r="E6" s="113">
        <v>18.7</v>
      </c>
      <c r="F6" s="113">
        <v>23</v>
      </c>
      <c r="G6" s="113">
        <v>12.7</v>
      </c>
      <c r="H6" s="1"/>
      <c r="I6" s="3"/>
      <c r="J6" s="3"/>
      <c r="K6" s="3"/>
    </row>
    <row r="7" spans="1:11" ht="14.25">
      <c r="A7" s="42" t="s">
        <v>55</v>
      </c>
      <c r="B7" s="113">
        <v>9.59</v>
      </c>
      <c r="C7" s="113">
        <v>158</v>
      </c>
      <c r="D7" s="113">
        <v>15.1</v>
      </c>
      <c r="E7" s="113">
        <v>16.2</v>
      </c>
      <c r="F7" s="113">
        <v>21.7</v>
      </c>
      <c r="G7" s="113">
        <v>8.15</v>
      </c>
      <c r="H7" s="1"/>
      <c r="I7" s="3"/>
      <c r="J7" s="3"/>
      <c r="K7" s="3"/>
    </row>
    <row r="8" spans="1:11" ht="14.25">
      <c r="A8" s="42" t="s">
        <v>56</v>
      </c>
      <c r="B8" s="113">
        <v>11.3</v>
      </c>
      <c r="C8" s="113">
        <v>161</v>
      </c>
      <c r="D8" s="113">
        <v>23.3</v>
      </c>
      <c r="E8" s="113">
        <v>19.3</v>
      </c>
      <c r="F8" s="113">
        <v>22.5</v>
      </c>
      <c r="G8" s="113">
        <v>12.2</v>
      </c>
      <c r="H8" s="1"/>
      <c r="I8" s="3"/>
      <c r="J8" s="3"/>
      <c r="K8" s="3"/>
    </row>
    <row r="9" spans="1:11" ht="14.25">
      <c r="A9" s="42" t="s">
        <v>67</v>
      </c>
      <c r="B9" s="113">
        <v>12.5</v>
      </c>
      <c r="C9" s="113">
        <v>260</v>
      </c>
      <c r="D9" s="113">
        <v>29.1</v>
      </c>
      <c r="E9" s="113">
        <v>24</v>
      </c>
      <c r="F9" s="113">
        <v>31.8</v>
      </c>
      <c r="G9" s="113">
        <v>13.9</v>
      </c>
      <c r="H9" s="1"/>
      <c r="I9" s="3"/>
      <c r="J9" s="3"/>
      <c r="K9" s="3"/>
    </row>
    <row r="10" spans="1:11" ht="14.25">
      <c r="A10" s="42" t="s">
        <v>91</v>
      </c>
      <c r="B10" s="113">
        <v>14.4</v>
      </c>
      <c r="C10" s="113">
        <v>252</v>
      </c>
      <c r="D10" s="113">
        <v>25.4</v>
      </c>
      <c r="E10" s="113">
        <v>26.5</v>
      </c>
      <c r="F10" s="113">
        <v>30.1</v>
      </c>
      <c r="G10" s="113">
        <v>13.8</v>
      </c>
      <c r="H10" s="1"/>
      <c r="I10" s="3"/>
      <c r="J10" s="3"/>
      <c r="K10" s="3"/>
    </row>
    <row r="11" spans="1:11" ht="14.25">
      <c r="A11" s="42" t="s">
        <v>99</v>
      </c>
      <c r="B11" s="113">
        <v>13</v>
      </c>
      <c r="C11" s="113">
        <v>246</v>
      </c>
      <c r="D11" s="113">
        <v>21.4</v>
      </c>
      <c r="E11" s="113">
        <v>20.6</v>
      </c>
      <c r="F11" s="113">
        <v>24.9</v>
      </c>
      <c r="G11" s="113">
        <v>13.8</v>
      </c>
      <c r="H11" s="1"/>
      <c r="I11" s="3"/>
      <c r="J11" s="3"/>
      <c r="K11" s="3"/>
    </row>
    <row r="12" spans="1:11" ht="14.25">
      <c r="A12" s="42" t="s">
        <v>102</v>
      </c>
      <c r="B12" s="113">
        <v>10.1</v>
      </c>
      <c r="C12" s="113">
        <v>194</v>
      </c>
      <c r="D12" s="113">
        <v>21.7</v>
      </c>
      <c r="E12" s="113">
        <v>16.9</v>
      </c>
      <c r="F12" s="113">
        <v>22</v>
      </c>
      <c r="G12" s="113">
        <v>11.8</v>
      </c>
      <c r="H12" s="1"/>
      <c r="I12" s="3"/>
      <c r="J12" s="3"/>
      <c r="K12" s="3"/>
    </row>
    <row r="13" spans="1:11" ht="14.25">
      <c r="A13" s="42" t="s">
        <v>103</v>
      </c>
      <c r="B13" s="113">
        <v>8.95</v>
      </c>
      <c r="C13" s="113">
        <v>227</v>
      </c>
      <c r="D13" s="113">
        <v>19.6</v>
      </c>
      <c r="E13" s="113">
        <v>15.6</v>
      </c>
      <c r="F13" s="113">
        <v>19.3</v>
      </c>
      <c r="G13" s="113">
        <v>8.95</v>
      </c>
      <c r="H13" s="1"/>
      <c r="I13" s="3"/>
      <c r="J13" s="3"/>
      <c r="K13" s="3"/>
    </row>
    <row r="14" spans="1:11" ht="14.25">
      <c r="A14" s="42" t="s">
        <v>120</v>
      </c>
      <c r="B14" s="113">
        <v>9.47</v>
      </c>
      <c r="C14" s="113">
        <v>195</v>
      </c>
      <c r="D14" s="113">
        <v>17.4</v>
      </c>
      <c r="E14" s="113">
        <v>16.6</v>
      </c>
      <c r="F14" s="113">
        <v>19.7</v>
      </c>
      <c r="G14" s="113">
        <v>8</v>
      </c>
      <c r="H14" s="1"/>
      <c r="I14" s="3"/>
      <c r="J14" s="3"/>
      <c r="K14" s="3"/>
    </row>
    <row r="15" spans="1:11" ht="16.5">
      <c r="A15" s="42" t="s">
        <v>147</v>
      </c>
      <c r="B15" s="113">
        <v>9.35</v>
      </c>
      <c r="C15" s="113">
        <v>139</v>
      </c>
      <c r="D15" s="113">
        <v>17.4</v>
      </c>
      <c r="E15" s="113">
        <v>17.5</v>
      </c>
      <c r="F15" s="113">
        <v>22.9</v>
      </c>
      <c r="G15" s="113">
        <v>9.5</v>
      </c>
      <c r="H15" s="1"/>
      <c r="I15" s="3"/>
      <c r="J15" s="3"/>
      <c r="K15" s="3"/>
    </row>
    <row r="16" spans="1:11" ht="16.5">
      <c r="A16" s="42" t="s">
        <v>169</v>
      </c>
      <c r="B16" s="114" t="s">
        <v>191</v>
      </c>
      <c r="C16" s="113" t="s">
        <v>192</v>
      </c>
      <c r="D16" s="114" t="s">
        <v>180</v>
      </c>
      <c r="E16" s="114" t="s">
        <v>181</v>
      </c>
      <c r="F16" s="114" t="s">
        <v>172</v>
      </c>
      <c r="G16" s="114" t="s">
        <v>171</v>
      </c>
      <c r="H16" s="1"/>
      <c r="I16" s="3"/>
      <c r="J16" s="3"/>
      <c r="K16" s="3"/>
    </row>
    <row r="17" spans="1:11" ht="14.25">
      <c r="A17" s="45"/>
      <c r="B17" s="115"/>
      <c r="C17" s="116"/>
      <c r="D17" s="117"/>
      <c r="E17" s="114"/>
      <c r="F17" s="114"/>
      <c r="G17" s="118"/>
      <c r="H17" s="3"/>
      <c r="I17" s="3"/>
      <c r="J17" s="3"/>
      <c r="K17" s="3"/>
    </row>
    <row r="18" spans="1:8" ht="14.25">
      <c r="A18" s="69" t="s">
        <v>120</v>
      </c>
      <c r="B18" s="113"/>
      <c r="C18" s="113"/>
      <c r="D18" s="113"/>
      <c r="E18" s="113"/>
      <c r="F18" s="113"/>
      <c r="G18" s="113"/>
      <c r="H18" s="1"/>
    </row>
    <row r="19" spans="1:8" ht="14.25">
      <c r="A19" s="42" t="s">
        <v>71</v>
      </c>
      <c r="B19" s="113">
        <v>9.41</v>
      </c>
      <c r="C19" s="113">
        <v>180</v>
      </c>
      <c r="D19" s="113">
        <v>17.9</v>
      </c>
      <c r="E19" s="113">
        <v>15.5</v>
      </c>
      <c r="F19" s="113">
        <v>19.1</v>
      </c>
      <c r="G19" s="113">
        <v>7.61</v>
      </c>
      <c r="H19" s="1"/>
    </row>
    <row r="20" spans="1:8" ht="14.25">
      <c r="A20" s="42" t="s">
        <v>58</v>
      </c>
      <c r="B20" s="113">
        <v>9.3</v>
      </c>
      <c r="C20" s="113">
        <v>197</v>
      </c>
      <c r="D20" s="113">
        <v>17</v>
      </c>
      <c r="E20" s="113">
        <v>15.8</v>
      </c>
      <c r="F20" s="113">
        <v>19.5</v>
      </c>
      <c r="G20" s="113">
        <v>7.37</v>
      </c>
      <c r="H20" s="1"/>
    </row>
    <row r="21" spans="1:8" ht="14.25">
      <c r="A21" s="42" t="s">
        <v>59</v>
      </c>
      <c r="B21" s="113">
        <v>9.47</v>
      </c>
      <c r="C21" s="113">
        <v>195</v>
      </c>
      <c r="D21" s="113">
        <v>16.4</v>
      </c>
      <c r="E21" s="113">
        <v>16.2</v>
      </c>
      <c r="F21" s="113">
        <v>19</v>
      </c>
      <c r="G21" s="113">
        <v>7.36</v>
      </c>
      <c r="H21" s="1"/>
    </row>
    <row r="22" spans="1:8" ht="14.25">
      <c r="A22" s="42" t="s">
        <v>60</v>
      </c>
      <c r="B22" s="113">
        <v>9.64</v>
      </c>
      <c r="C22" s="113">
        <v>196</v>
      </c>
      <c r="D22" s="113">
        <v>17.2</v>
      </c>
      <c r="E22" s="113">
        <v>17.1</v>
      </c>
      <c r="F22" s="113">
        <v>18.6</v>
      </c>
      <c r="G22" s="113">
        <v>7.59</v>
      </c>
      <c r="H22" s="1"/>
    </row>
    <row r="23" spans="1:8" ht="14.25">
      <c r="A23" s="42" t="s">
        <v>61</v>
      </c>
      <c r="B23" s="113">
        <v>9.71</v>
      </c>
      <c r="C23" s="113">
        <v>199</v>
      </c>
      <c r="D23" s="113">
        <v>17.2</v>
      </c>
      <c r="E23" s="113">
        <v>17.3</v>
      </c>
      <c r="F23" s="113">
        <v>19.8</v>
      </c>
      <c r="G23" s="113">
        <v>8.26</v>
      </c>
      <c r="H23" s="1"/>
    </row>
    <row r="24" spans="1:8" ht="14.25">
      <c r="A24" s="42" t="s">
        <v>62</v>
      </c>
      <c r="B24" s="113">
        <v>9.86</v>
      </c>
      <c r="C24" s="113">
        <v>203</v>
      </c>
      <c r="D24" s="113">
        <v>17.6</v>
      </c>
      <c r="E24" s="113">
        <v>17.4</v>
      </c>
      <c r="F24" s="113">
        <v>20.1</v>
      </c>
      <c r="G24" s="113">
        <v>7.86</v>
      </c>
      <c r="H24" s="1"/>
    </row>
    <row r="25" spans="1:8" ht="14.25">
      <c r="A25" s="42" t="s">
        <v>63</v>
      </c>
      <c r="B25" s="113">
        <v>9.69</v>
      </c>
      <c r="C25" s="113" t="s">
        <v>10</v>
      </c>
      <c r="D25" s="113">
        <v>17.4</v>
      </c>
      <c r="E25" s="113">
        <v>17.6</v>
      </c>
      <c r="F25" s="113">
        <v>20.6</v>
      </c>
      <c r="G25" s="113">
        <v>8.34</v>
      </c>
      <c r="H25" s="1"/>
    </row>
    <row r="26" spans="1:8" ht="14.25">
      <c r="A26" s="42" t="s">
        <v>64</v>
      </c>
      <c r="B26" s="113">
        <v>9.33</v>
      </c>
      <c r="C26" s="113" t="s">
        <v>10</v>
      </c>
      <c r="D26" s="113">
        <v>17.9</v>
      </c>
      <c r="E26" s="113">
        <v>18</v>
      </c>
      <c r="F26" s="113">
        <v>19.8</v>
      </c>
      <c r="G26" s="113">
        <v>8.03</v>
      </c>
      <c r="H26" s="1"/>
    </row>
    <row r="27" spans="1:8" ht="14.25">
      <c r="A27" s="42" t="s">
        <v>65</v>
      </c>
      <c r="B27" s="113">
        <v>9.29</v>
      </c>
      <c r="C27" s="113" t="s">
        <v>10</v>
      </c>
      <c r="D27" s="113">
        <v>17.3</v>
      </c>
      <c r="E27" s="113">
        <v>16.8</v>
      </c>
      <c r="F27" s="113">
        <v>19.4</v>
      </c>
      <c r="G27" s="113">
        <v>8.96</v>
      </c>
      <c r="H27" s="1"/>
    </row>
    <row r="28" spans="1:8" ht="14.25">
      <c r="A28" s="42" t="s">
        <v>66</v>
      </c>
      <c r="B28" s="113">
        <v>9.1</v>
      </c>
      <c r="C28" s="113" t="s">
        <v>10</v>
      </c>
      <c r="D28" s="113">
        <v>17.6</v>
      </c>
      <c r="E28" s="113">
        <v>17.4</v>
      </c>
      <c r="F28" s="113">
        <v>19.7</v>
      </c>
      <c r="G28" s="113">
        <v>8.52</v>
      </c>
      <c r="H28" s="1"/>
    </row>
    <row r="29" spans="1:8" ht="14.25">
      <c r="A29" s="42" t="s">
        <v>68</v>
      </c>
      <c r="B29" s="113">
        <v>9.42</v>
      </c>
      <c r="C29" s="113" t="s">
        <v>10</v>
      </c>
      <c r="D29" s="113">
        <v>17.9</v>
      </c>
      <c r="E29" s="113">
        <v>17.8</v>
      </c>
      <c r="F29" s="113">
        <v>20.5</v>
      </c>
      <c r="G29" s="113">
        <v>8.4</v>
      </c>
      <c r="H29" s="1"/>
    </row>
    <row r="30" spans="1:8" ht="14.25">
      <c r="A30" s="42" t="s">
        <v>69</v>
      </c>
      <c r="B30" s="113">
        <v>9.24</v>
      </c>
      <c r="C30" s="113">
        <v>127</v>
      </c>
      <c r="D30" s="113">
        <v>19.1</v>
      </c>
      <c r="E30" s="113">
        <v>17.7</v>
      </c>
      <c r="F30" s="113">
        <v>19.7</v>
      </c>
      <c r="G30" s="113">
        <v>9.3</v>
      </c>
      <c r="H30" s="1"/>
    </row>
    <row r="31" spans="1:8" ht="14.25">
      <c r="A31" s="42"/>
      <c r="B31" s="113"/>
      <c r="C31" s="113"/>
      <c r="D31" s="113"/>
      <c r="E31" s="113"/>
      <c r="F31" s="113"/>
      <c r="G31" s="113"/>
      <c r="H31" s="1"/>
    </row>
    <row r="32" spans="1:8" ht="14.25">
      <c r="A32" s="69" t="s">
        <v>123</v>
      </c>
      <c r="B32" s="113"/>
      <c r="C32" s="113"/>
      <c r="D32" s="113"/>
      <c r="E32" s="113"/>
      <c r="F32" s="113"/>
      <c r="G32" s="113"/>
      <c r="H32" s="1"/>
    </row>
    <row r="33" spans="1:8" ht="14.25">
      <c r="A33" s="42" t="s">
        <v>71</v>
      </c>
      <c r="B33" s="113">
        <v>9.35</v>
      </c>
      <c r="C33" s="113">
        <v>124</v>
      </c>
      <c r="D33" s="113">
        <v>17.4</v>
      </c>
      <c r="E33" s="113">
        <v>17.3</v>
      </c>
      <c r="F33" s="113">
        <v>23</v>
      </c>
      <c r="G33" s="113">
        <v>9.55</v>
      </c>
      <c r="H33" s="1"/>
    </row>
    <row r="34" spans="1:8" ht="14.25">
      <c r="A34" s="42" t="s">
        <v>58</v>
      </c>
      <c r="B34" s="113">
        <v>9.18</v>
      </c>
      <c r="C34" s="113">
        <v>138</v>
      </c>
      <c r="D34" s="113">
        <v>16.8</v>
      </c>
      <c r="E34" s="113">
        <v>16.7</v>
      </c>
      <c r="F34" s="113">
        <v>23.2</v>
      </c>
      <c r="G34" s="113">
        <v>9.23</v>
      </c>
      <c r="H34" s="1"/>
    </row>
    <row r="35" spans="1:8" ht="14.25">
      <c r="A35" s="42" t="s">
        <v>59</v>
      </c>
      <c r="B35" s="113">
        <v>9.22</v>
      </c>
      <c r="C35" s="113">
        <v>144</v>
      </c>
      <c r="D35" s="113">
        <v>16.6</v>
      </c>
      <c r="E35" s="113">
        <v>17.2</v>
      </c>
      <c r="F35" s="113">
        <v>22.7</v>
      </c>
      <c r="G35" s="113">
        <v>9.21</v>
      </c>
      <c r="H35" s="1"/>
    </row>
    <row r="36" spans="1:8" ht="14.25">
      <c r="A36" s="42" t="s">
        <v>60</v>
      </c>
      <c r="B36" s="113">
        <v>9.3</v>
      </c>
      <c r="C36" s="113">
        <v>143</v>
      </c>
      <c r="D36" s="113">
        <v>17</v>
      </c>
      <c r="E36" s="113">
        <v>16.7</v>
      </c>
      <c r="F36" s="113">
        <v>23</v>
      </c>
      <c r="G36" s="113">
        <v>9.34</v>
      </c>
      <c r="H36" s="1"/>
    </row>
    <row r="37" spans="1:8" ht="14.25">
      <c r="A37" s="42" t="s">
        <v>61</v>
      </c>
      <c r="B37" s="113">
        <v>9.3</v>
      </c>
      <c r="C37" s="113">
        <v>139</v>
      </c>
      <c r="D37" s="113">
        <v>17.6</v>
      </c>
      <c r="E37" s="113">
        <v>17.7</v>
      </c>
      <c r="F37" s="113">
        <v>22.9</v>
      </c>
      <c r="G37" s="113">
        <v>9.39</v>
      </c>
      <c r="H37" s="1"/>
    </row>
    <row r="38" spans="1:8" ht="14.25">
      <c r="A38" s="42" t="s">
        <v>62</v>
      </c>
      <c r="B38" s="113">
        <v>9.49</v>
      </c>
      <c r="C38" s="113">
        <v>156</v>
      </c>
      <c r="D38" s="113">
        <v>17.7</v>
      </c>
      <c r="E38" s="113">
        <v>18.3</v>
      </c>
      <c r="F38" s="113">
        <v>22.7</v>
      </c>
      <c r="G38" s="113">
        <v>9.81</v>
      </c>
      <c r="H38" s="1"/>
    </row>
    <row r="39" spans="1:8" ht="14.25">
      <c r="A39" s="42" t="s">
        <v>63</v>
      </c>
      <c r="B39" s="113">
        <v>9.81</v>
      </c>
      <c r="C39" s="113" t="s">
        <v>10</v>
      </c>
      <c r="D39" s="113">
        <v>17.3</v>
      </c>
      <c r="E39" s="113">
        <v>18</v>
      </c>
      <c r="F39" s="113">
        <v>24.4</v>
      </c>
      <c r="G39" s="113">
        <v>9.76</v>
      </c>
      <c r="H39" s="1"/>
    </row>
    <row r="40" spans="1:8" ht="14.25">
      <c r="A40" s="42" t="s">
        <v>64</v>
      </c>
      <c r="B40" s="113">
        <v>9.83</v>
      </c>
      <c r="C40" s="113" t="s">
        <v>10</v>
      </c>
      <c r="D40" s="113">
        <v>18</v>
      </c>
      <c r="E40" s="113">
        <v>17.5</v>
      </c>
      <c r="F40" s="113">
        <v>23.3</v>
      </c>
      <c r="G40" s="113">
        <v>9.92</v>
      </c>
      <c r="H40" s="1"/>
    </row>
    <row r="41" spans="1:8" ht="14.25">
      <c r="A41" s="42" t="s">
        <v>65</v>
      </c>
      <c r="B41" s="113">
        <v>9.84</v>
      </c>
      <c r="C41" s="113" t="s">
        <v>10</v>
      </c>
      <c r="D41" s="113">
        <v>17.9</v>
      </c>
      <c r="E41" s="113">
        <v>18.5</v>
      </c>
      <c r="F41" s="113">
        <v>22.7</v>
      </c>
      <c r="G41" s="113">
        <v>10.1</v>
      </c>
      <c r="H41" s="1"/>
    </row>
    <row r="42" spans="1:8" ht="14.25">
      <c r="A42" s="42" t="s">
        <v>66</v>
      </c>
      <c r="B42" s="113">
        <v>9.55</v>
      </c>
      <c r="C42" s="113" t="s">
        <v>10</v>
      </c>
      <c r="D42" s="113">
        <v>17.7</v>
      </c>
      <c r="E42" s="113">
        <v>17.2</v>
      </c>
      <c r="F42" s="113">
        <v>22.7</v>
      </c>
      <c r="G42" s="113">
        <v>9.98</v>
      </c>
      <c r="H42" s="1"/>
    </row>
    <row r="43" spans="1:7" ht="14.25">
      <c r="A43" s="41" t="s">
        <v>68</v>
      </c>
      <c r="B43" s="119">
        <v>9.1</v>
      </c>
      <c r="C43" s="119" t="s">
        <v>10</v>
      </c>
      <c r="D43" s="119">
        <v>17.4</v>
      </c>
      <c r="E43" s="119">
        <v>17.1</v>
      </c>
      <c r="F43" s="119">
        <v>22.4</v>
      </c>
      <c r="G43" s="119">
        <v>9.96</v>
      </c>
    </row>
    <row r="44" spans="1:7" ht="16.5">
      <c r="A44" s="42" t="s">
        <v>148</v>
      </c>
      <c r="B44" s="42"/>
      <c r="C44" s="42"/>
      <c r="D44" s="42"/>
      <c r="E44" s="42"/>
      <c r="F44" s="42"/>
      <c r="G44" s="42"/>
    </row>
    <row r="45" spans="1:7" ht="14.25">
      <c r="A45" s="42" t="s">
        <v>57</v>
      </c>
      <c r="B45" s="120"/>
      <c r="C45" s="120" t="s">
        <v>108</v>
      </c>
      <c r="D45" s="120"/>
      <c r="E45" s="120"/>
      <c r="F45" s="120"/>
      <c r="G45" s="120"/>
    </row>
    <row r="46" spans="1:7" ht="14.25">
      <c r="A46" s="42" t="s">
        <v>149</v>
      </c>
      <c r="B46" s="42"/>
      <c r="C46" s="42"/>
      <c r="D46" s="42"/>
      <c r="E46" s="42"/>
      <c r="F46" s="42"/>
      <c r="G46" s="42"/>
    </row>
    <row r="47" spans="1:7" ht="14.25">
      <c r="A47" s="42" t="s">
        <v>26</v>
      </c>
      <c r="B47" s="80">
        <f ca="1">NOW()</f>
        <v>43357.319098148146</v>
      </c>
      <c r="C47" s="42"/>
      <c r="D47" s="42"/>
      <c r="E47" s="42"/>
      <c r="F47" s="42"/>
      <c r="G47" s="42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1" t="s">
        <v>22</v>
      </c>
      <c r="B1" s="41"/>
      <c r="C1" s="41"/>
      <c r="D1" s="41"/>
      <c r="E1" s="41"/>
      <c r="F1" s="41"/>
      <c r="G1" s="41"/>
      <c r="H1" s="41"/>
      <c r="I1" s="42"/>
    </row>
    <row r="2" spans="1:9" ht="15" customHeight="1">
      <c r="A2" s="121" t="s">
        <v>15</v>
      </c>
      <c r="B2" s="89" t="s">
        <v>44</v>
      </c>
      <c r="C2" s="89" t="s">
        <v>17</v>
      </c>
      <c r="D2" s="89" t="s">
        <v>89</v>
      </c>
      <c r="E2" s="122" t="s">
        <v>52</v>
      </c>
      <c r="F2" s="122" t="s">
        <v>45</v>
      </c>
      <c r="G2" s="89" t="s">
        <v>49</v>
      </c>
      <c r="H2" s="89" t="s">
        <v>150</v>
      </c>
      <c r="I2" s="123" t="s">
        <v>48</v>
      </c>
    </row>
    <row r="3" spans="1:9" ht="15" customHeight="1">
      <c r="A3" s="94" t="s">
        <v>16</v>
      </c>
      <c r="B3" s="49" t="s">
        <v>151</v>
      </c>
      <c r="C3" s="49" t="s">
        <v>152</v>
      </c>
      <c r="D3" s="49" t="s">
        <v>153</v>
      </c>
      <c r="E3" s="49" t="s">
        <v>153</v>
      </c>
      <c r="F3" s="49" t="s">
        <v>154</v>
      </c>
      <c r="G3" s="49" t="s">
        <v>155</v>
      </c>
      <c r="H3" s="49"/>
      <c r="I3" s="49" t="s">
        <v>156</v>
      </c>
    </row>
    <row r="4" spans="1:9" ht="14.25">
      <c r="A4" s="42"/>
      <c r="B4" s="61" t="s">
        <v>109</v>
      </c>
      <c r="C4" s="124"/>
      <c r="D4" s="124"/>
      <c r="E4" s="124"/>
      <c r="F4" s="124"/>
      <c r="G4" s="124"/>
      <c r="H4" s="124"/>
      <c r="I4" s="124"/>
    </row>
    <row r="5" spans="1:9" ht="14.25">
      <c r="A5" s="42"/>
      <c r="B5" s="42"/>
      <c r="C5" s="42"/>
      <c r="D5" s="42"/>
      <c r="E5" s="42"/>
      <c r="F5" s="42"/>
      <c r="G5" s="42"/>
      <c r="H5" s="42"/>
      <c r="I5" s="42"/>
    </row>
    <row r="6" spans="1:9" ht="14.25">
      <c r="A6" s="42" t="s">
        <v>53</v>
      </c>
      <c r="B6" s="113">
        <v>32.16</v>
      </c>
      <c r="C6" s="113">
        <v>37.1</v>
      </c>
      <c r="D6" s="113">
        <v>50.24</v>
      </c>
      <c r="E6" s="113">
        <v>39.54</v>
      </c>
      <c r="F6" s="113">
        <v>78.49</v>
      </c>
      <c r="G6" s="113">
        <v>32.75</v>
      </c>
      <c r="H6" s="113">
        <v>26.72</v>
      </c>
      <c r="I6" s="113">
        <v>25.47</v>
      </c>
    </row>
    <row r="7" spans="1:9" ht="14.25">
      <c r="A7" s="42" t="s">
        <v>55</v>
      </c>
      <c r="B7" s="113">
        <v>35.95</v>
      </c>
      <c r="C7" s="113">
        <v>40.27</v>
      </c>
      <c r="D7" s="113">
        <v>52.8</v>
      </c>
      <c r="E7" s="113">
        <v>42.88</v>
      </c>
      <c r="F7" s="113">
        <v>59.62</v>
      </c>
      <c r="G7" s="113">
        <v>39.29</v>
      </c>
      <c r="H7" s="113">
        <v>31.99</v>
      </c>
      <c r="I7" s="113">
        <v>32.26</v>
      </c>
    </row>
    <row r="8" spans="1:9" ht="14.25">
      <c r="A8" s="42" t="s">
        <v>56</v>
      </c>
      <c r="B8" s="113">
        <v>53.2</v>
      </c>
      <c r="C8" s="113">
        <v>54.5</v>
      </c>
      <c r="D8" s="113">
        <v>86.12</v>
      </c>
      <c r="E8" s="113">
        <v>58.68</v>
      </c>
      <c r="F8" s="113">
        <v>77.24</v>
      </c>
      <c r="G8" s="113">
        <v>60.76</v>
      </c>
      <c r="H8" s="113">
        <v>51.52</v>
      </c>
      <c r="I8" s="113">
        <v>51.34</v>
      </c>
    </row>
    <row r="9" spans="1:9" ht="14.25">
      <c r="A9" s="42" t="s">
        <v>67</v>
      </c>
      <c r="B9" s="113">
        <v>51.9</v>
      </c>
      <c r="C9" s="113">
        <v>53.22</v>
      </c>
      <c r="D9" s="113">
        <v>83.2</v>
      </c>
      <c r="E9" s="113">
        <v>57.19</v>
      </c>
      <c r="F9" s="113">
        <v>100.15</v>
      </c>
      <c r="G9" s="113">
        <v>56.09</v>
      </c>
      <c r="H9" s="113">
        <v>48.11</v>
      </c>
      <c r="I9" s="113">
        <v>50.33</v>
      </c>
    </row>
    <row r="10" spans="1:9" ht="14.25">
      <c r="A10" s="42" t="s">
        <v>91</v>
      </c>
      <c r="B10" s="113">
        <v>47.13</v>
      </c>
      <c r="C10" s="113">
        <v>48.6</v>
      </c>
      <c r="D10" s="113">
        <v>65.87</v>
      </c>
      <c r="E10" s="113">
        <v>56.17</v>
      </c>
      <c r="F10" s="113">
        <v>91.83</v>
      </c>
      <c r="G10" s="113">
        <v>46.66</v>
      </c>
      <c r="H10" s="113">
        <v>51.8</v>
      </c>
      <c r="I10" s="113">
        <v>43.24</v>
      </c>
    </row>
    <row r="11" spans="1:9" ht="14.25">
      <c r="A11" s="42" t="s">
        <v>99</v>
      </c>
      <c r="B11" s="113">
        <v>38.23</v>
      </c>
      <c r="C11" s="113">
        <v>60.66</v>
      </c>
      <c r="D11" s="113">
        <v>59.12</v>
      </c>
      <c r="E11" s="113">
        <v>43.7</v>
      </c>
      <c r="F11" s="113">
        <v>68.23</v>
      </c>
      <c r="G11" s="113">
        <v>39.43</v>
      </c>
      <c r="H11" s="113">
        <v>43.93</v>
      </c>
      <c r="I11" s="113">
        <v>39.76</v>
      </c>
    </row>
    <row r="12" spans="1:9" ht="14.25">
      <c r="A12" s="42" t="s">
        <v>102</v>
      </c>
      <c r="B12" s="113">
        <v>31.6</v>
      </c>
      <c r="C12" s="113">
        <v>45.74</v>
      </c>
      <c r="D12" s="113">
        <v>66.72</v>
      </c>
      <c r="E12" s="113">
        <v>37.81</v>
      </c>
      <c r="F12" s="113">
        <v>57.96</v>
      </c>
      <c r="G12" s="113">
        <v>37.48</v>
      </c>
      <c r="H12" s="113">
        <v>33.43</v>
      </c>
      <c r="I12" s="113">
        <v>31.36</v>
      </c>
    </row>
    <row r="13" spans="1:9" ht="14.25">
      <c r="A13" s="42" t="s">
        <v>103</v>
      </c>
      <c r="B13" s="113">
        <v>29.86</v>
      </c>
      <c r="C13" s="113">
        <v>45.87</v>
      </c>
      <c r="D13" s="113">
        <v>57.81</v>
      </c>
      <c r="E13" s="113">
        <v>35.27</v>
      </c>
      <c r="F13" s="113">
        <v>58.26</v>
      </c>
      <c r="G13" s="113">
        <v>39.25</v>
      </c>
      <c r="H13" s="113">
        <v>32.23</v>
      </c>
      <c r="I13" s="113">
        <v>30.07</v>
      </c>
    </row>
    <row r="14" spans="1:9" ht="14.25">
      <c r="A14" s="42" t="s">
        <v>120</v>
      </c>
      <c r="B14" s="113">
        <v>32.55</v>
      </c>
      <c r="C14" s="113">
        <v>40.92</v>
      </c>
      <c r="D14" s="113">
        <v>53.54</v>
      </c>
      <c r="E14" s="113">
        <v>38.73</v>
      </c>
      <c r="F14" s="113">
        <v>66.73</v>
      </c>
      <c r="G14" s="113">
        <v>37.43</v>
      </c>
      <c r="H14" s="113">
        <v>33.07</v>
      </c>
      <c r="I14" s="113">
        <v>34.75</v>
      </c>
    </row>
    <row r="15" spans="1:9" ht="16.5">
      <c r="A15" s="42" t="s">
        <v>147</v>
      </c>
      <c r="B15" s="113">
        <v>30</v>
      </c>
      <c r="C15" s="113">
        <v>32</v>
      </c>
      <c r="D15" s="113">
        <v>54.5</v>
      </c>
      <c r="E15" s="113">
        <v>38.25</v>
      </c>
      <c r="F15" s="113">
        <v>66.72</v>
      </c>
      <c r="G15" s="113">
        <v>30.5</v>
      </c>
      <c r="H15" s="113">
        <v>34</v>
      </c>
      <c r="I15" s="113">
        <v>31.25</v>
      </c>
    </row>
    <row r="16" spans="1:9" ht="16.5">
      <c r="A16" s="42" t="s">
        <v>169</v>
      </c>
      <c r="B16" s="114" t="s">
        <v>173</v>
      </c>
      <c r="C16" s="114" t="s">
        <v>174</v>
      </c>
      <c r="D16" s="114" t="s">
        <v>175</v>
      </c>
      <c r="E16" s="114" t="s">
        <v>176</v>
      </c>
      <c r="F16" s="114" t="s">
        <v>177</v>
      </c>
      <c r="G16" s="114" t="s">
        <v>174</v>
      </c>
      <c r="H16" s="114" t="s">
        <v>178</v>
      </c>
      <c r="I16" s="114" t="s">
        <v>173</v>
      </c>
    </row>
    <row r="17" spans="1:9" ht="14.25">
      <c r="A17" s="42"/>
      <c r="B17" s="58"/>
      <c r="C17" s="116"/>
      <c r="D17" s="125"/>
      <c r="E17" s="125"/>
      <c r="F17" s="125"/>
      <c r="G17" s="125"/>
      <c r="H17" s="42"/>
      <c r="I17" s="42"/>
    </row>
    <row r="18" spans="1:9" ht="14.25">
      <c r="A18" s="42" t="s">
        <v>120</v>
      </c>
      <c r="B18" s="113"/>
      <c r="C18" s="113"/>
      <c r="D18" s="113"/>
      <c r="E18" s="113"/>
      <c r="F18" s="113"/>
      <c r="G18" s="113"/>
      <c r="H18" s="113"/>
      <c r="I18" s="113"/>
    </row>
    <row r="19" spans="1:15" ht="14.25">
      <c r="A19" s="42" t="s">
        <v>58</v>
      </c>
      <c r="B19" s="113">
        <v>33.86</v>
      </c>
      <c r="C19" s="113">
        <v>44.875</v>
      </c>
      <c r="D19" s="113">
        <v>56</v>
      </c>
      <c r="E19" s="113">
        <v>38.94</v>
      </c>
      <c r="F19" s="113">
        <v>64.88</v>
      </c>
      <c r="G19" s="113">
        <v>36.22</v>
      </c>
      <c r="H19" s="113">
        <v>34</v>
      </c>
      <c r="I19" s="113">
        <v>32.25</v>
      </c>
      <c r="K19" s="7"/>
      <c r="L19" s="7"/>
      <c r="M19" s="7"/>
      <c r="N19" s="7"/>
      <c r="O19" s="7"/>
    </row>
    <row r="20" spans="1:15" ht="14.25">
      <c r="A20" s="42" t="s">
        <v>59</v>
      </c>
      <c r="B20" s="113">
        <v>34.52</v>
      </c>
      <c r="C20" s="113">
        <v>45.8125</v>
      </c>
      <c r="D20" s="113">
        <v>56</v>
      </c>
      <c r="E20" s="113">
        <v>39.25</v>
      </c>
      <c r="F20" s="113">
        <v>66</v>
      </c>
      <c r="G20" s="113">
        <v>36.83</v>
      </c>
      <c r="H20" s="113" t="s">
        <v>10</v>
      </c>
      <c r="I20" s="113">
        <v>34.69</v>
      </c>
      <c r="K20" s="7"/>
      <c r="L20" s="7"/>
      <c r="M20" s="7"/>
      <c r="N20" s="7"/>
      <c r="O20" s="7"/>
    </row>
    <row r="21" spans="1:15" ht="14.25">
      <c r="A21" s="42" t="s">
        <v>60</v>
      </c>
      <c r="B21" s="113">
        <v>35.57</v>
      </c>
      <c r="C21" s="113">
        <v>46.4</v>
      </c>
      <c r="D21" s="113">
        <v>56</v>
      </c>
      <c r="E21" s="113">
        <v>40.2</v>
      </c>
      <c r="F21" s="113">
        <v>63.1</v>
      </c>
      <c r="G21" s="113">
        <v>38.12</v>
      </c>
      <c r="H21" s="113">
        <v>31</v>
      </c>
      <c r="I21" s="113">
        <v>34</v>
      </c>
      <c r="K21" s="7"/>
      <c r="L21" s="7"/>
      <c r="M21" s="7"/>
      <c r="N21" s="7"/>
      <c r="O21" s="7"/>
    </row>
    <row r="22" spans="1:15" ht="14.25">
      <c r="A22" s="42" t="s">
        <v>61</v>
      </c>
      <c r="B22" s="113">
        <v>33.58</v>
      </c>
      <c r="C22" s="113">
        <v>44.5625</v>
      </c>
      <c r="D22" s="113">
        <v>56</v>
      </c>
      <c r="E22" s="113">
        <v>38.69</v>
      </c>
      <c r="F22" s="113">
        <v>62.88</v>
      </c>
      <c r="G22" s="113">
        <v>37.89</v>
      </c>
      <c r="H22" s="113">
        <v>30.1</v>
      </c>
      <c r="I22" s="113">
        <v>34</v>
      </c>
      <c r="K22" s="7"/>
      <c r="L22" s="7"/>
      <c r="M22" s="7"/>
      <c r="N22" s="7"/>
      <c r="O22" s="7"/>
    </row>
    <row r="23" spans="1:15" ht="14.25">
      <c r="A23" s="42" t="s">
        <v>62</v>
      </c>
      <c r="B23" s="113">
        <v>32</v>
      </c>
      <c r="C23" s="113">
        <v>41.5</v>
      </c>
      <c r="D23" s="113">
        <v>55</v>
      </c>
      <c r="E23" s="113">
        <v>37.25</v>
      </c>
      <c r="F23" s="113">
        <v>63.13</v>
      </c>
      <c r="G23" s="113">
        <v>38.11</v>
      </c>
      <c r="H23" s="113" t="s">
        <v>10</v>
      </c>
      <c r="I23" s="113">
        <v>34.5</v>
      </c>
      <c r="K23" s="7"/>
      <c r="L23" s="7"/>
      <c r="M23" s="7"/>
      <c r="N23" s="7"/>
      <c r="O23" s="7"/>
    </row>
    <row r="24" spans="1:15" ht="14.25">
      <c r="A24" s="42" t="s">
        <v>63</v>
      </c>
      <c r="B24" s="113">
        <v>30.86</v>
      </c>
      <c r="C24" s="113">
        <v>39.45</v>
      </c>
      <c r="D24" s="113">
        <v>52</v>
      </c>
      <c r="E24" s="113">
        <v>37.3</v>
      </c>
      <c r="F24" s="113">
        <v>65.8</v>
      </c>
      <c r="G24" s="113">
        <v>37.9</v>
      </c>
      <c r="H24" s="113" t="s">
        <v>10</v>
      </c>
      <c r="I24" s="113">
        <v>33.8</v>
      </c>
      <c r="K24" s="7"/>
      <c r="L24" s="7"/>
      <c r="M24" s="7"/>
      <c r="N24" s="7"/>
      <c r="O24" s="7"/>
    </row>
    <row r="25" spans="1:15" ht="14.25">
      <c r="A25" s="42" t="s">
        <v>64</v>
      </c>
      <c r="B25" s="113">
        <v>29.57</v>
      </c>
      <c r="C25" s="113">
        <v>37.5625</v>
      </c>
      <c r="D25" s="113">
        <v>51</v>
      </c>
      <c r="E25" s="113">
        <v>36.13</v>
      </c>
      <c r="F25" s="113">
        <v>69.69</v>
      </c>
      <c r="G25" s="113">
        <v>37.63</v>
      </c>
      <c r="H25" s="113" t="s">
        <v>10</v>
      </c>
      <c r="I25" s="113">
        <v>33.5</v>
      </c>
      <c r="K25" s="7"/>
      <c r="L25" s="7"/>
      <c r="M25" s="7"/>
      <c r="N25" s="7"/>
      <c r="O25" s="7"/>
    </row>
    <row r="26" spans="1:15" ht="14.25">
      <c r="A26" s="42" t="s">
        <v>65</v>
      </c>
      <c r="B26" s="113">
        <v>30.6</v>
      </c>
      <c r="C26" s="113">
        <v>38.625</v>
      </c>
      <c r="D26" s="113">
        <v>50.5</v>
      </c>
      <c r="E26" s="113">
        <v>37.06</v>
      </c>
      <c r="F26" s="113">
        <v>70.75</v>
      </c>
      <c r="G26" s="113">
        <v>37.71</v>
      </c>
      <c r="H26" s="113" t="s">
        <v>10</v>
      </c>
      <c r="I26" s="113">
        <v>35.91</v>
      </c>
      <c r="K26" s="7"/>
      <c r="L26" s="7"/>
      <c r="M26" s="7"/>
      <c r="N26" s="7"/>
      <c r="O26" s="7"/>
    </row>
    <row r="27" spans="1:15" ht="14.25">
      <c r="A27" s="42" t="s">
        <v>66</v>
      </c>
      <c r="B27" s="113">
        <v>30.74</v>
      </c>
      <c r="C27" s="113">
        <v>38.6</v>
      </c>
      <c r="D27" s="113">
        <v>50.8</v>
      </c>
      <c r="E27" s="113">
        <v>37.85</v>
      </c>
      <c r="F27" s="113">
        <v>76.2</v>
      </c>
      <c r="G27" s="113">
        <v>38</v>
      </c>
      <c r="H27" s="113">
        <v>34.5</v>
      </c>
      <c r="I27" s="113">
        <v>36.6</v>
      </c>
      <c r="K27" s="7"/>
      <c r="L27" s="7"/>
      <c r="M27" s="7"/>
      <c r="N27" s="7"/>
      <c r="O27" s="7"/>
    </row>
    <row r="28" spans="1:15" ht="14.25">
      <c r="A28" s="42" t="s">
        <v>68</v>
      </c>
      <c r="B28" s="113">
        <v>32.82</v>
      </c>
      <c r="C28" s="113">
        <v>38.875</v>
      </c>
      <c r="D28" s="113">
        <v>51.25</v>
      </c>
      <c r="E28" s="113">
        <v>39.75</v>
      </c>
      <c r="F28" s="113">
        <v>75.75</v>
      </c>
      <c r="G28" s="113">
        <v>37.53</v>
      </c>
      <c r="H28" s="113" t="s">
        <v>10</v>
      </c>
      <c r="I28" s="113">
        <v>36.89</v>
      </c>
      <c r="K28" s="7"/>
      <c r="L28" s="7"/>
      <c r="M28" s="7"/>
      <c r="N28" s="7"/>
      <c r="O28" s="7"/>
    </row>
    <row r="29" spans="1:15" ht="14.25">
      <c r="A29" s="42" t="s">
        <v>69</v>
      </c>
      <c r="B29" s="113">
        <v>33.17</v>
      </c>
      <c r="C29" s="113">
        <v>36.375</v>
      </c>
      <c r="D29" s="113">
        <v>52.75</v>
      </c>
      <c r="E29" s="113">
        <v>41.19</v>
      </c>
      <c r="F29" s="113">
        <v>69.63</v>
      </c>
      <c r="G29" s="113">
        <v>36.75</v>
      </c>
      <c r="H29" s="113" t="s">
        <v>10</v>
      </c>
      <c r="I29" s="113">
        <v>35.78</v>
      </c>
      <c r="K29" s="7"/>
      <c r="L29" s="7"/>
      <c r="M29" s="7"/>
      <c r="N29" s="7"/>
      <c r="O29" s="7"/>
    </row>
    <row r="30" spans="1:15" ht="14.25">
      <c r="A30" s="42" t="s">
        <v>71</v>
      </c>
      <c r="B30" s="113">
        <v>33.28</v>
      </c>
      <c r="C30" s="113">
        <v>38.45</v>
      </c>
      <c r="D30" s="113">
        <v>55.2</v>
      </c>
      <c r="E30" s="113">
        <v>41.15</v>
      </c>
      <c r="F30" s="113">
        <v>66.6</v>
      </c>
      <c r="G30" s="113">
        <v>36.48</v>
      </c>
      <c r="H30" s="113">
        <v>35.75</v>
      </c>
      <c r="I30" s="113">
        <v>35.08</v>
      </c>
      <c r="K30" s="7"/>
      <c r="L30" s="7"/>
      <c r="M30" s="7"/>
      <c r="N30" s="7"/>
      <c r="O30" s="7"/>
    </row>
    <row r="31" spans="1:9" ht="14.25">
      <c r="A31" s="45"/>
      <c r="B31" s="113"/>
      <c r="C31" s="113"/>
      <c r="D31" s="113"/>
      <c r="E31" s="113"/>
      <c r="F31" s="113"/>
      <c r="G31" s="113"/>
      <c r="H31" s="113"/>
      <c r="I31" s="113"/>
    </row>
    <row r="32" spans="1:9" ht="14.25">
      <c r="A32" s="42" t="s">
        <v>123</v>
      </c>
      <c r="B32" s="113"/>
      <c r="C32" s="113"/>
      <c r="D32" s="113"/>
      <c r="E32" s="113"/>
      <c r="F32" s="113"/>
      <c r="G32" s="113"/>
      <c r="H32" s="113"/>
      <c r="I32" s="113"/>
    </row>
    <row r="33" spans="1:15" ht="14.25">
      <c r="A33" s="42" t="s">
        <v>58</v>
      </c>
      <c r="B33" s="113">
        <v>32.35</v>
      </c>
      <c r="C33" s="113">
        <v>37.06</v>
      </c>
      <c r="D33" s="113">
        <v>56</v>
      </c>
      <c r="E33" s="113">
        <v>39.06</v>
      </c>
      <c r="F33" s="113">
        <v>65.44</v>
      </c>
      <c r="G33" s="113">
        <v>34.96</v>
      </c>
      <c r="H33" s="113">
        <v>36</v>
      </c>
      <c r="I33" s="113">
        <v>32.06</v>
      </c>
      <c r="K33" s="7"/>
      <c r="L33" s="7"/>
      <c r="M33" s="7"/>
      <c r="N33" s="7"/>
      <c r="O33" s="7"/>
    </row>
    <row r="34" spans="1:15" ht="14.25">
      <c r="A34" s="42" t="s">
        <v>59</v>
      </c>
      <c r="B34" s="113">
        <v>33.43</v>
      </c>
      <c r="C34" s="113">
        <v>37</v>
      </c>
      <c r="D34" s="113">
        <v>55.5</v>
      </c>
      <c r="E34" s="113">
        <v>39.69</v>
      </c>
      <c r="F34" s="113">
        <v>65</v>
      </c>
      <c r="G34" s="113">
        <v>34.46</v>
      </c>
      <c r="H34" s="113">
        <v>38.17</v>
      </c>
      <c r="I34" s="113">
        <v>33.44</v>
      </c>
      <c r="K34" s="7"/>
      <c r="L34" s="7"/>
      <c r="M34" s="7"/>
      <c r="N34" s="7"/>
      <c r="O34" s="7"/>
    </row>
    <row r="35" spans="1:9" ht="14.25">
      <c r="A35" s="42" t="s">
        <v>60</v>
      </c>
      <c r="B35" s="113">
        <v>32.27</v>
      </c>
      <c r="C35" s="113">
        <v>34.25</v>
      </c>
      <c r="D35" s="113">
        <v>54.8</v>
      </c>
      <c r="E35" s="113">
        <v>38.65</v>
      </c>
      <c r="F35" s="113">
        <v>65.2</v>
      </c>
      <c r="G35" s="113">
        <v>33.96</v>
      </c>
      <c r="H35" s="113">
        <v>37</v>
      </c>
      <c r="I35" s="113">
        <v>31.63</v>
      </c>
    </row>
    <row r="36" spans="1:9" ht="14.25">
      <c r="A36" s="42" t="s">
        <v>61</v>
      </c>
      <c r="B36" s="113">
        <v>31.61</v>
      </c>
      <c r="C36" s="113">
        <v>32.75</v>
      </c>
      <c r="D36" s="113">
        <v>55.5</v>
      </c>
      <c r="E36" s="113">
        <v>38.31</v>
      </c>
      <c r="F36" s="113">
        <v>66.13</v>
      </c>
      <c r="G36" s="113">
        <v>30.68</v>
      </c>
      <c r="H36" s="113">
        <v>32.08</v>
      </c>
      <c r="I36" s="113" t="s">
        <v>10</v>
      </c>
    </row>
    <row r="37" spans="1:9" ht="14.25">
      <c r="A37" s="42" t="s">
        <v>62</v>
      </c>
      <c r="B37" s="113">
        <v>30.63</v>
      </c>
      <c r="C37" s="113">
        <v>31.44</v>
      </c>
      <c r="D37" s="113">
        <v>55</v>
      </c>
      <c r="E37" s="113">
        <v>37.44</v>
      </c>
      <c r="F37" s="113">
        <v>66.63</v>
      </c>
      <c r="G37" s="113">
        <v>29.72</v>
      </c>
      <c r="H37" s="113">
        <v>32.2</v>
      </c>
      <c r="I37" s="113">
        <v>31</v>
      </c>
    </row>
    <row r="38" spans="1:9" ht="14.25">
      <c r="A38" s="42" t="s">
        <v>63</v>
      </c>
      <c r="B38" s="113">
        <v>30.28</v>
      </c>
      <c r="C38" s="113">
        <v>31.35</v>
      </c>
      <c r="D38" s="113">
        <v>54</v>
      </c>
      <c r="E38" s="113">
        <v>37.1</v>
      </c>
      <c r="F38" s="113">
        <v>67</v>
      </c>
      <c r="G38" s="113">
        <v>29.66</v>
      </c>
      <c r="H38" s="113" t="s">
        <v>10</v>
      </c>
      <c r="I38" s="113" t="s">
        <v>10</v>
      </c>
    </row>
    <row r="39" spans="1:9" ht="14.25">
      <c r="A39" s="42" t="s">
        <v>64</v>
      </c>
      <c r="B39" s="113">
        <v>29.7</v>
      </c>
      <c r="C39" s="113">
        <v>31.19</v>
      </c>
      <c r="D39" s="113">
        <v>54</v>
      </c>
      <c r="E39" s="113">
        <v>37.31</v>
      </c>
      <c r="F39" s="113">
        <v>66.88</v>
      </c>
      <c r="G39" s="113">
        <v>29.5</v>
      </c>
      <c r="H39" s="113" t="s">
        <v>10</v>
      </c>
      <c r="I39" s="113">
        <v>29.5</v>
      </c>
    </row>
    <row r="40" spans="1:9" ht="14.25">
      <c r="A40" s="42" t="s">
        <v>65</v>
      </c>
      <c r="B40" s="113">
        <v>29.4</v>
      </c>
      <c r="C40" s="113">
        <v>31.25</v>
      </c>
      <c r="D40" s="113">
        <v>54</v>
      </c>
      <c r="E40" s="113">
        <v>38.25</v>
      </c>
      <c r="F40" s="113">
        <v>66.5</v>
      </c>
      <c r="G40" s="113">
        <v>29.65</v>
      </c>
      <c r="H40" s="113" t="s">
        <v>10</v>
      </c>
      <c r="I40" s="113">
        <v>29</v>
      </c>
    </row>
    <row r="41" spans="1:9" ht="14.25">
      <c r="A41" s="42" t="s">
        <v>66</v>
      </c>
      <c r="B41" s="113">
        <v>28.3</v>
      </c>
      <c r="C41" s="113">
        <v>29.9</v>
      </c>
      <c r="D41" s="113">
        <v>54</v>
      </c>
      <c r="E41" s="113">
        <v>37.75</v>
      </c>
      <c r="F41" s="113">
        <v>67.7</v>
      </c>
      <c r="G41" s="113">
        <v>29.54</v>
      </c>
      <c r="H41" s="113">
        <v>32.5</v>
      </c>
      <c r="I41" s="113">
        <v>30</v>
      </c>
    </row>
    <row r="42" spans="1:9" ht="14.25">
      <c r="A42" s="42" t="s">
        <v>68</v>
      </c>
      <c r="B42" s="113">
        <v>27.21</v>
      </c>
      <c r="C42" s="113">
        <v>28.75</v>
      </c>
      <c r="D42" s="113">
        <v>54</v>
      </c>
      <c r="E42" s="113">
        <v>38.69</v>
      </c>
      <c r="F42" s="113">
        <v>68</v>
      </c>
      <c r="G42" s="113">
        <v>28.76</v>
      </c>
      <c r="H42" s="113" t="s">
        <v>10</v>
      </c>
      <c r="I42" s="113">
        <v>32.47</v>
      </c>
    </row>
    <row r="43" spans="1:9" ht="14.25">
      <c r="A43" s="41" t="s">
        <v>69</v>
      </c>
      <c r="B43" s="119">
        <v>27.6</v>
      </c>
      <c r="C43" s="119">
        <v>28.6</v>
      </c>
      <c r="D43" s="119">
        <v>54</v>
      </c>
      <c r="E43" s="119">
        <v>38.75</v>
      </c>
      <c r="F43" s="119">
        <v>68</v>
      </c>
      <c r="G43" s="119">
        <v>26.8</v>
      </c>
      <c r="H43" s="119">
        <v>32.38</v>
      </c>
      <c r="I43" s="119">
        <v>32</v>
      </c>
    </row>
    <row r="44" spans="1:9" ht="16.5">
      <c r="A44" s="88" t="s">
        <v>166</v>
      </c>
      <c r="B44" s="126"/>
      <c r="C44" s="126"/>
      <c r="D44" s="126"/>
      <c r="E44" s="126"/>
      <c r="F44" s="126"/>
      <c r="G44" s="126"/>
      <c r="H44" s="126"/>
      <c r="I44" s="126"/>
    </row>
    <row r="45" spans="1:9" ht="16.5">
      <c r="A45" s="42" t="s">
        <v>167</v>
      </c>
      <c r="B45" s="126"/>
      <c r="C45" s="126"/>
      <c r="D45" s="126"/>
      <c r="E45" s="126"/>
      <c r="F45" s="126"/>
      <c r="G45" s="126"/>
      <c r="H45" s="126"/>
      <c r="I45" s="126"/>
    </row>
    <row r="46" spans="1:9" ht="14.25">
      <c r="A46" s="42" t="s">
        <v>157</v>
      </c>
      <c r="B46" s="42"/>
      <c r="C46" s="42"/>
      <c r="D46" s="42"/>
      <c r="E46" s="42"/>
      <c r="F46" s="126"/>
      <c r="G46" s="42"/>
      <c r="H46" s="42"/>
      <c r="I46" s="42"/>
    </row>
    <row r="47" spans="1:9" ht="14.25">
      <c r="A47" s="42" t="s">
        <v>26</v>
      </c>
      <c r="B47" s="80">
        <f ca="1">NOW()</f>
        <v>43357.319098148146</v>
      </c>
      <c r="C47" s="42"/>
      <c r="D47" s="42"/>
      <c r="E47" s="42"/>
      <c r="F47" s="42"/>
      <c r="G47" s="42"/>
      <c r="H47" s="42"/>
      <c r="I47" s="42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G62" s="14"/>
      <c r="H62" s="14"/>
      <c r="I62" s="14"/>
    </row>
    <row r="63" spans="3:9" ht="15.75">
      <c r="C63" s="14"/>
      <c r="G63" s="14"/>
      <c r="H63" s="14"/>
      <c r="I63" s="14"/>
    </row>
    <row r="64" spans="3:9" ht="15.75">
      <c r="C64" s="14"/>
      <c r="H64" s="14"/>
      <c r="I64" s="14"/>
    </row>
    <row r="65" spans="3:9" ht="15.75">
      <c r="C65" s="14"/>
      <c r="H65" s="14"/>
      <c r="I65" s="14"/>
    </row>
    <row r="66" spans="3:9" ht="15.75">
      <c r="C66" s="14"/>
      <c r="F66" s="16"/>
      <c r="H66" s="14"/>
      <c r="I66" s="14"/>
    </row>
    <row r="67" spans="6:9" ht="15.75">
      <c r="F67" s="16"/>
      <c r="H67" s="14"/>
      <c r="I67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1" t="s">
        <v>43</v>
      </c>
      <c r="B1" s="41"/>
      <c r="C1" s="41"/>
      <c r="D1" s="41"/>
      <c r="E1" s="41"/>
      <c r="F1" s="41"/>
      <c r="G1" s="41"/>
    </row>
    <row r="2" spans="1:7" ht="15" customHeight="1">
      <c r="A2" s="45" t="s">
        <v>15</v>
      </c>
      <c r="B2" s="89" t="s">
        <v>44</v>
      </c>
      <c r="C2" s="127" t="s">
        <v>17</v>
      </c>
      <c r="D2" s="127" t="s">
        <v>89</v>
      </c>
      <c r="E2" s="127" t="s">
        <v>45</v>
      </c>
      <c r="F2" s="89" t="s">
        <v>46</v>
      </c>
      <c r="G2" s="44" t="s">
        <v>47</v>
      </c>
    </row>
    <row r="3" spans="1:7" ht="15" customHeight="1">
      <c r="A3" s="41" t="s">
        <v>16</v>
      </c>
      <c r="B3" s="49" t="s">
        <v>158</v>
      </c>
      <c r="C3" s="49" t="s">
        <v>159</v>
      </c>
      <c r="D3" s="49" t="s">
        <v>160</v>
      </c>
      <c r="E3" s="49" t="s">
        <v>161</v>
      </c>
      <c r="F3" s="49" t="s">
        <v>162</v>
      </c>
      <c r="G3" s="49" t="s">
        <v>163</v>
      </c>
    </row>
    <row r="4" spans="1:7" ht="14.25">
      <c r="A4" s="42"/>
      <c r="B4" s="61" t="s">
        <v>110</v>
      </c>
      <c r="C4" s="124"/>
      <c r="D4" s="124"/>
      <c r="E4" s="124"/>
      <c r="F4" s="124"/>
      <c r="G4" s="124"/>
    </row>
    <row r="5" spans="1:7" ht="14.25">
      <c r="A5" s="42"/>
      <c r="B5" s="42"/>
      <c r="C5" s="42"/>
      <c r="D5" s="42"/>
      <c r="E5" s="42"/>
      <c r="F5" s="42"/>
      <c r="G5" s="42"/>
    </row>
    <row r="6" spans="1:8" ht="14.25">
      <c r="A6" s="42" t="s">
        <v>53</v>
      </c>
      <c r="B6" s="113">
        <v>331.17</v>
      </c>
      <c r="C6" s="113">
        <v>255.23</v>
      </c>
      <c r="D6" s="113">
        <v>152.46</v>
      </c>
      <c r="E6" s="128" t="s">
        <v>10</v>
      </c>
      <c r="F6" s="113">
        <v>248.82</v>
      </c>
      <c r="G6" s="113">
        <v>220.89</v>
      </c>
      <c r="H6" s="16"/>
    </row>
    <row r="7" spans="1:8" ht="14.25">
      <c r="A7" s="42" t="s">
        <v>55</v>
      </c>
      <c r="B7" s="113">
        <v>311.27</v>
      </c>
      <c r="C7" s="113">
        <v>220.9</v>
      </c>
      <c r="D7" s="113">
        <v>151.04</v>
      </c>
      <c r="E7" s="128" t="s">
        <v>10</v>
      </c>
      <c r="F7" s="113">
        <v>224.92</v>
      </c>
      <c r="G7" s="113">
        <v>209.23</v>
      </c>
      <c r="H7" s="16"/>
    </row>
    <row r="8" spans="1:8" ht="14.25">
      <c r="A8" s="42" t="s">
        <v>56</v>
      </c>
      <c r="B8" s="113">
        <v>345.52</v>
      </c>
      <c r="C8" s="113">
        <v>273.84</v>
      </c>
      <c r="D8" s="113">
        <v>219.72</v>
      </c>
      <c r="E8" s="128" t="s">
        <v>10</v>
      </c>
      <c r="F8" s="113">
        <v>263.63</v>
      </c>
      <c r="G8" s="113">
        <v>240.65</v>
      </c>
      <c r="H8" s="16"/>
    </row>
    <row r="9" spans="1:8" ht="14.25">
      <c r="A9" s="42" t="s">
        <v>67</v>
      </c>
      <c r="B9" s="113">
        <v>393.53</v>
      </c>
      <c r="C9" s="113">
        <v>275.13</v>
      </c>
      <c r="D9" s="113">
        <v>246.75</v>
      </c>
      <c r="E9" s="128" t="s">
        <v>10</v>
      </c>
      <c r="F9" s="113">
        <v>307.59</v>
      </c>
      <c r="G9" s="113">
        <v>265.68</v>
      </c>
      <c r="H9" s="16"/>
    </row>
    <row r="10" spans="1:8" ht="14.25">
      <c r="A10" s="42" t="s">
        <v>91</v>
      </c>
      <c r="B10" s="113">
        <v>468.11</v>
      </c>
      <c r="C10" s="113">
        <v>331.52</v>
      </c>
      <c r="D10" s="113">
        <v>241.57</v>
      </c>
      <c r="E10" s="128" t="s">
        <v>10</v>
      </c>
      <c r="F10" s="113">
        <v>354.22</v>
      </c>
      <c r="G10" s="113">
        <v>329.31</v>
      </c>
      <c r="H10" s="16"/>
    </row>
    <row r="11" spans="1:8" ht="14.25">
      <c r="A11" s="42" t="s">
        <v>99</v>
      </c>
      <c r="B11" s="113">
        <v>489.94</v>
      </c>
      <c r="C11" s="113">
        <v>377.71</v>
      </c>
      <c r="D11" s="113">
        <v>238.87</v>
      </c>
      <c r="E11" s="128" t="s">
        <v>10</v>
      </c>
      <c r="F11" s="113">
        <v>359.7</v>
      </c>
      <c r="G11" s="113">
        <v>337.23</v>
      </c>
      <c r="H11" s="16"/>
    </row>
    <row r="12" spans="1:8" ht="14.25">
      <c r="A12" s="42" t="s">
        <v>102</v>
      </c>
      <c r="B12" s="113">
        <v>368.49</v>
      </c>
      <c r="C12" s="113">
        <v>304.27</v>
      </c>
      <c r="D12" s="113">
        <v>209.97</v>
      </c>
      <c r="E12" s="128" t="s">
        <v>10</v>
      </c>
      <c r="F12" s="113">
        <v>301.2</v>
      </c>
      <c r="G12" s="113">
        <v>256.58</v>
      </c>
      <c r="H12" s="16"/>
    </row>
    <row r="13" spans="1:7" ht="14.25">
      <c r="A13" s="42" t="s">
        <v>103</v>
      </c>
      <c r="B13" s="113">
        <v>324.56</v>
      </c>
      <c r="C13" s="113">
        <v>261.19</v>
      </c>
      <c r="D13" s="113">
        <v>153.17</v>
      </c>
      <c r="E13" s="128" t="s">
        <v>10</v>
      </c>
      <c r="F13" s="113">
        <v>262.2</v>
      </c>
      <c r="G13" s="113">
        <v>260.23</v>
      </c>
    </row>
    <row r="14" spans="1:7" ht="14.25">
      <c r="A14" s="42" t="s">
        <v>120</v>
      </c>
      <c r="B14" s="113">
        <v>316.88</v>
      </c>
      <c r="C14" s="113">
        <v>208.61</v>
      </c>
      <c r="D14" s="113">
        <v>145.1</v>
      </c>
      <c r="E14" s="128" t="s">
        <v>10</v>
      </c>
      <c r="F14" s="113">
        <v>267.94</v>
      </c>
      <c r="G14" s="113">
        <v>282.49</v>
      </c>
    </row>
    <row r="15" spans="1:7" ht="16.5">
      <c r="A15" s="42" t="s">
        <v>147</v>
      </c>
      <c r="B15" s="113">
        <v>345</v>
      </c>
      <c r="C15" s="113">
        <v>260</v>
      </c>
      <c r="D15" s="113">
        <v>175</v>
      </c>
      <c r="E15" s="128" t="s">
        <v>10</v>
      </c>
      <c r="F15" s="113">
        <v>292</v>
      </c>
      <c r="G15" s="113">
        <v>240</v>
      </c>
    </row>
    <row r="16" spans="1:7" ht="16.5">
      <c r="A16" s="42" t="s">
        <v>169</v>
      </c>
      <c r="B16" s="113" t="s">
        <v>193</v>
      </c>
      <c r="C16" s="113" t="s">
        <v>179</v>
      </c>
      <c r="D16" s="138" t="s">
        <v>194</v>
      </c>
      <c r="E16" s="128" t="s">
        <v>10</v>
      </c>
      <c r="F16" s="113" t="s">
        <v>195</v>
      </c>
      <c r="G16" s="113" t="s">
        <v>196</v>
      </c>
    </row>
    <row r="17" spans="1:8" ht="14.25">
      <c r="A17" s="129"/>
      <c r="B17" s="113"/>
      <c r="C17" s="113"/>
      <c r="D17" s="113"/>
      <c r="E17" s="128"/>
      <c r="F17" s="113"/>
      <c r="G17" s="113"/>
      <c r="H17" s="13"/>
    </row>
    <row r="18" spans="1:8" ht="14.25">
      <c r="A18" s="42" t="s">
        <v>120</v>
      </c>
      <c r="B18" s="113"/>
      <c r="C18" s="113"/>
      <c r="D18" s="113"/>
      <c r="E18" s="128"/>
      <c r="F18" s="113"/>
      <c r="G18" s="113"/>
      <c r="H18" s="13"/>
    </row>
    <row r="19" spans="1:13" ht="14.25">
      <c r="A19" s="42" t="s">
        <v>58</v>
      </c>
      <c r="B19" s="113">
        <v>323.27</v>
      </c>
      <c r="C19" s="113">
        <v>241.88</v>
      </c>
      <c r="D19" s="113">
        <v>148.75</v>
      </c>
      <c r="E19" s="128" t="s">
        <v>10</v>
      </c>
      <c r="F19" s="113">
        <v>225.05</v>
      </c>
      <c r="G19" s="113">
        <v>305.63</v>
      </c>
      <c r="H19" s="13"/>
      <c r="I19" s="7"/>
      <c r="J19" s="7"/>
      <c r="K19" s="7"/>
      <c r="L19" s="7"/>
      <c r="M19" s="7"/>
    </row>
    <row r="20" spans="1:13" ht="14.25">
      <c r="A20" s="42" t="s">
        <v>59</v>
      </c>
      <c r="B20" s="113">
        <v>322.41</v>
      </c>
      <c r="C20" s="113">
        <v>221</v>
      </c>
      <c r="D20" s="113">
        <v>140.5</v>
      </c>
      <c r="E20" s="128" t="s">
        <v>10</v>
      </c>
      <c r="F20" s="113">
        <v>234.78</v>
      </c>
      <c r="G20" s="113">
        <v>296</v>
      </c>
      <c r="H20" s="13"/>
      <c r="I20" s="7"/>
      <c r="J20" s="7"/>
      <c r="K20" s="7"/>
      <c r="L20" s="7"/>
      <c r="M20" s="7"/>
    </row>
    <row r="21" spans="1:13" ht="14.25">
      <c r="A21" s="42" t="s">
        <v>60</v>
      </c>
      <c r="B21" s="113">
        <v>321.02</v>
      </c>
      <c r="C21" s="113">
        <v>217.5</v>
      </c>
      <c r="D21" s="113">
        <v>145</v>
      </c>
      <c r="E21" s="128" t="s">
        <v>10</v>
      </c>
      <c r="F21" s="113">
        <v>243.3</v>
      </c>
      <c r="G21" s="113">
        <v>290</v>
      </c>
      <c r="H21" s="13"/>
      <c r="I21" s="7"/>
      <c r="J21" s="7"/>
      <c r="K21" s="7"/>
      <c r="L21" s="7"/>
      <c r="M21" s="7"/>
    </row>
    <row r="22" spans="1:13" ht="14.25">
      <c r="A22" s="42" t="s">
        <v>61</v>
      </c>
      <c r="B22" s="113">
        <v>332.34</v>
      </c>
      <c r="C22" s="113">
        <v>223.5</v>
      </c>
      <c r="D22" s="113">
        <v>159</v>
      </c>
      <c r="E22" s="128" t="s">
        <v>10</v>
      </c>
      <c r="F22" s="113">
        <v>267.41</v>
      </c>
      <c r="G22" s="113">
        <v>297</v>
      </c>
      <c r="H22" s="13"/>
      <c r="I22" s="7"/>
      <c r="J22" s="7"/>
      <c r="K22" s="7"/>
      <c r="L22" s="7"/>
      <c r="M22" s="7"/>
    </row>
    <row r="23" spans="1:13" ht="14.25">
      <c r="A23" s="42" t="s">
        <v>62</v>
      </c>
      <c r="B23" s="113">
        <v>334.42</v>
      </c>
      <c r="C23" s="113">
        <v>221.88</v>
      </c>
      <c r="D23" s="113">
        <v>161.88</v>
      </c>
      <c r="E23" s="128" t="s">
        <v>10</v>
      </c>
      <c r="F23" s="113">
        <v>276.9</v>
      </c>
      <c r="G23" s="113">
        <v>299.38</v>
      </c>
      <c r="H23" s="13"/>
      <c r="I23" s="7"/>
      <c r="J23" s="7"/>
      <c r="K23" s="7"/>
      <c r="L23" s="7"/>
      <c r="M23" s="7"/>
    </row>
    <row r="24" spans="1:13" ht="14.25">
      <c r="A24" s="42" t="s">
        <v>63</v>
      </c>
      <c r="B24" s="113">
        <v>320.34</v>
      </c>
      <c r="C24" s="113">
        <v>210.63</v>
      </c>
      <c r="D24" s="113">
        <v>155</v>
      </c>
      <c r="E24" s="128" t="s">
        <v>10</v>
      </c>
      <c r="F24" s="113">
        <v>276.33</v>
      </c>
      <c r="G24" s="113">
        <v>297.5</v>
      </c>
      <c r="H24" s="13"/>
      <c r="I24" s="7"/>
      <c r="J24" s="7"/>
      <c r="K24" s="7"/>
      <c r="L24" s="7"/>
      <c r="M24" s="7"/>
    </row>
    <row r="25" spans="1:13" ht="14.25">
      <c r="A25" s="42" t="s">
        <v>64</v>
      </c>
      <c r="B25" s="113">
        <v>305.67</v>
      </c>
      <c r="C25" s="113">
        <v>195</v>
      </c>
      <c r="D25" s="113">
        <v>147.5</v>
      </c>
      <c r="E25" s="128" t="s">
        <v>10</v>
      </c>
      <c r="F25" s="113">
        <v>270.66</v>
      </c>
      <c r="G25" s="113">
        <v>291.25</v>
      </c>
      <c r="H25" s="13"/>
      <c r="I25" s="7"/>
      <c r="J25" s="7"/>
      <c r="K25" s="7"/>
      <c r="L25" s="7"/>
      <c r="M25" s="7"/>
    </row>
    <row r="26" spans="1:13" ht="14.25">
      <c r="A26" s="42" t="s">
        <v>65</v>
      </c>
      <c r="B26" s="113">
        <v>307.63</v>
      </c>
      <c r="C26" s="113">
        <v>179.5</v>
      </c>
      <c r="D26" s="113">
        <v>144</v>
      </c>
      <c r="E26" s="128" t="s">
        <v>10</v>
      </c>
      <c r="F26" s="113">
        <v>279.64</v>
      </c>
      <c r="G26" s="113">
        <v>290</v>
      </c>
      <c r="H26" s="13"/>
      <c r="I26" s="7"/>
      <c r="J26" s="7"/>
      <c r="K26" s="7"/>
      <c r="L26" s="7"/>
      <c r="M26" s="7"/>
    </row>
    <row r="27" spans="1:13" ht="14.25">
      <c r="A27" s="42" t="s">
        <v>66</v>
      </c>
      <c r="B27" s="113">
        <v>300.72</v>
      </c>
      <c r="C27" s="113">
        <v>179.38</v>
      </c>
      <c r="D27" s="113">
        <v>140</v>
      </c>
      <c r="E27" s="128" t="s">
        <v>10</v>
      </c>
      <c r="F27" s="113">
        <v>281.66</v>
      </c>
      <c r="G27" s="113">
        <v>282.63</v>
      </c>
      <c r="H27" s="13"/>
      <c r="I27" s="7"/>
      <c r="J27" s="7"/>
      <c r="K27" s="7"/>
      <c r="L27" s="7"/>
      <c r="M27" s="7"/>
    </row>
    <row r="28" spans="1:13" ht="14.25">
      <c r="A28" s="42" t="s">
        <v>68</v>
      </c>
      <c r="B28" s="113">
        <v>326.04</v>
      </c>
      <c r="C28" s="113">
        <v>200.83</v>
      </c>
      <c r="D28" s="113">
        <v>130.63</v>
      </c>
      <c r="E28" s="128" t="s">
        <v>10</v>
      </c>
      <c r="F28" s="113">
        <v>307.73</v>
      </c>
      <c r="G28" s="113">
        <v>250.63</v>
      </c>
      <c r="H28" s="13"/>
      <c r="I28" s="7"/>
      <c r="J28" s="7"/>
      <c r="K28" s="7"/>
      <c r="L28" s="7"/>
      <c r="M28" s="7"/>
    </row>
    <row r="29" spans="1:13" ht="14.25">
      <c r="A29" s="42" t="s">
        <v>69</v>
      </c>
      <c r="B29" s="113">
        <v>301.05</v>
      </c>
      <c r="C29" s="113">
        <v>198.5</v>
      </c>
      <c r="D29" s="113">
        <v>134.5</v>
      </c>
      <c r="E29" s="128" t="s">
        <v>10</v>
      </c>
      <c r="F29" s="113">
        <v>289.45</v>
      </c>
      <c r="G29" s="113">
        <v>253</v>
      </c>
      <c r="H29" s="13"/>
      <c r="I29" s="7"/>
      <c r="J29" s="7"/>
      <c r="K29" s="7"/>
      <c r="L29" s="7"/>
      <c r="M29" s="7"/>
    </row>
    <row r="30" spans="1:13" ht="14.25">
      <c r="A30" s="42" t="s">
        <v>71</v>
      </c>
      <c r="B30" s="113">
        <v>307.7</v>
      </c>
      <c r="C30" s="113">
        <v>213.75</v>
      </c>
      <c r="D30" s="113">
        <v>134.38</v>
      </c>
      <c r="E30" s="128" t="s">
        <v>10</v>
      </c>
      <c r="F30" s="113">
        <v>262.33</v>
      </c>
      <c r="G30" s="113">
        <v>236.88</v>
      </c>
      <c r="H30" s="13"/>
      <c r="I30" s="7"/>
      <c r="J30" s="7"/>
      <c r="K30" s="7"/>
      <c r="L30" s="7"/>
      <c r="M30" s="7"/>
    </row>
    <row r="31" spans="1:8" ht="14.25">
      <c r="A31" s="129"/>
      <c r="B31" s="113"/>
      <c r="C31" s="113"/>
      <c r="D31" s="113"/>
      <c r="E31" s="128"/>
      <c r="F31" s="113"/>
      <c r="G31" s="113"/>
      <c r="H31" s="13"/>
    </row>
    <row r="32" spans="1:8" ht="14.25">
      <c r="A32" s="42" t="s">
        <v>123</v>
      </c>
      <c r="B32" s="113"/>
      <c r="C32" s="113"/>
      <c r="D32" s="113"/>
      <c r="E32" s="128"/>
      <c r="F32" s="113"/>
      <c r="G32" s="113"/>
      <c r="H32" s="13"/>
    </row>
    <row r="33" spans="1:13" ht="14.25">
      <c r="A33" s="42" t="s">
        <v>58</v>
      </c>
      <c r="B33" s="113">
        <v>315.23</v>
      </c>
      <c r="C33" s="113">
        <v>229</v>
      </c>
      <c r="D33" s="113">
        <v>153</v>
      </c>
      <c r="E33" s="128" t="s">
        <v>10</v>
      </c>
      <c r="F33" s="113">
        <v>257.73</v>
      </c>
      <c r="G33" s="113">
        <v>214</v>
      </c>
      <c r="H33" s="13"/>
      <c r="I33" s="7"/>
      <c r="J33" s="7"/>
      <c r="K33" s="7"/>
      <c r="L33" s="7"/>
      <c r="M33" s="7"/>
    </row>
    <row r="34" spans="1:13" ht="14.25">
      <c r="A34" s="42" t="s">
        <v>59</v>
      </c>
      <c r="B34" s="113">
        <v>313.52</v>
      </c>
      <c r="C34" s="113">
        <v>228.75</v>
      </c>
      <c r="D34" s="113">
        <v>165</v>
      </c>
      <c r="E34" s="128" t="s">
        <v>10</v>
      </c>
      <c r="F34" s="113">
        <v>255.74</v>
      </c>
      <c r="G34" s="113">
        <v>205</v>
      </c>
      <c r="H34" s="13"/>
      <c r="I34" s="7"/>
      <c r="J34" s="7"/>
      <c r="K34" s="7"/>
      <c r="L34" s="7"/>
      <c r="M34" s="7"/>
    </row>
    <row r="35" spans="1:8" ht="14.25">
      <c r="A35" s="42" t="s">
        <v>60</v>
      </c>
      <c r="B35" s="113">
        <v>319.22</v>
      </c>
      <c r="C35" s="113">
        <v>232.5</v>
      </c>
      <c r="D35" s="113">
        <v>185</v>
      </c>
      <c r="E35" s="128" t="s">
        <v>10</v>
      </c>
      <c r="F35" s="113">
        <v>266.53</v>
      </c>
      <c r="G35" s="113">
        <v>209.17</v>
      </c>
      <c r="H35" s="13"/>
    </row>
    <row r="36" spans="1:8" ht="14.25">
      <c r="A36" s="42" t="s">
        <v>61</v>
      </c>
      <c r="B36" s="113">
        <v>322.6</v>
      </c>
      <c r="C36" s="113">
        <v>259</v>
      </c>
      <c r="D36" s="113">
        <v>178</v>
      </c>
      <c r="E36" s="128" t="s">
        <v>10</v>
      </c>
      <c r="F36" s="113">
        <v>270.2</v>
      </c>
      <c r="G36" s="113">
        <v>215.5</v>
      </c>
      <c r="H36" s="13"/>
    </row>
    <row r="37" spans="1:8" ht="14.25">
      <c r="A37" s="42" t="s">
        <v>62</v>
      </c>
      <c r="B37" s="113">
        <v>362.85</v>
      </c>
      <c r="C37" s="113">
        <v>303.13</v>
      </c>
      <c r="D37" s="113">
        <v>185.63</v>
      </c>
      <c r="E37" s="128" t="s">
        <v>10</v>
      </c>
      <c r="F37" s="113">
        <v>315.95</v>
      </c>
      <c r="G37" s="113">
        <v>233.13</v>
      </c>
      <c r="H37" s="13"/>
    </row>
    <row r="38" spans="1:8" ht="14.25">
      <c r="A38" s="42" t="s">
        <v>63</v>
      </c>
      <c r="B38" s="113">
        <v>379.85</v>
      </c>
      <c r="C38" s="113">
        <v>323.13</v>
      </c>
      <c r="D38" s="113">
        <v>187.5</v>
      </c>
      <c r="E38" s="128" t="s">
        <v>10</v>
      </c>
      <c r="F38" s="113">
        <v>334.58</v>
      </c>
      <c r="G38" s="113">
        <v>237.5</v>
      </c>
      <c r="H38" s="13"/>
    </row>
    <row r="39" spans="1:8" ht="14.25">
      <c r="A39" s="42" t="s">
        <v>64</v>
      </c>
      <c r="B39" s="113">
        <v>385.84</v>
      </c>
      <c r="C39" s="113">
        <v>263.13</v>
      </c>
      <c r="D39" s="113">
        <v>191.88</v>
      </c>
      <c r="E39" s="128" t="s">
        <v>10</v>
      </c>
      <c r="F39" s="113">
        <v>332.16</v>
      </c>
      <c r="G39" s="113">
        <v>238.13</v>
      </c>
      <c r="H39" s="13"/>
    </row>
    <row r="40" spans="1:8" ht="14.25">
      <c r="A40" s="42" t="s">
        <v>65</v>
      </c>
      <c r="B40" s="113">
        <v>393.55</v>
      </c>
      <c r="C40" s="113">
        <v>262.5</v>
      </c>
      <c r="D40" s="113">
        <v>201.5</v>
      </c>
      <c r="E40" s="128" t="s">
        <v>10</v>
      </c>
      <c r="F40" s="113">
        <v>336.93</v>
      </c>
      <c r="G40" s="113">
        <v>267.5</v>
      </c>
      <c r="H40" s="13"/>
    </row>
    <row r="41" spans="1:8" ht="14.25">
      <c r="A41" s="42" t="s">
        <v>66</v>
      </c>
      <c r="B41" s="113">
        <v>355.71</v>
      </c>
      <c r="C41" s="113">
        <v>257.5</v>
      </c>
      <c r="D41" s="113">
        <v>175.63</v>
      </c>
      <c r="E41" s="128" t="s">
        <v>10</v>
      </c>
      <c r="F41" s="113">
        <v>302.75</v>
      </c>
      <c r="G41" s="113">
        <v>271.25</v>
      </c>
      <c r="H41" s="13"/>
    </row>
    <row r="42" spans="1:8" ht="14.25">
      <c r="A42" s="42" t="s">
        <v>68</v>
      </c>
      <c r="B42" s="113">
        <v>341.08</v>
      </c>
      <c r="C42" s="113">
        <v>253.13</v>
      </c>
      <c r="D42" s="113">
        <v>155.5</v>
      </c>
      <c r="E42" s="128" t="s">
        <v>10</v>
      </c>
      <c r="F42" s="113">
        <v>279.84</v>
      </c>
      <c r="G42" s="113">
        <v>278</v>
      </c>
      <c r="H42" s="13"/>
    </row>
    <row r="43" spans="1:13" ht="14.25">
      <c r="A43" s="130" t="s">
        <v>69</v>
      </c>
      <c r="B43" s="119">
        <v>332.5</v>
      </c>
      <c r="C43" s="119">
        <v>260</v>
      </c>
      <c r="D43" s="119">
        <v>153.13</v>
      </c>
      <c r="E43" s="131" t="s">
        <v>10</v>
      </c>
      <c r="F43" s="119">
        <v>274.55</v>
      </c>
      <c r="G43" s="119">
        <v>265.63</v>
      </c>
      <c r="I43" s="6"/>
      <c r="J43" s="6"/>
      <c r="K43" s="6"/>
      <c r="L43" s="6"/>
      <c r="M43" s="6"/>
    </row>
    <row r="44" spans="1:13" ht="16.5">
      <c r="A44" s="88" t="s">
        <v>168</v>
      </c>
      <c r="B44" s="132"/>
      <c r="C44" s="132"/>
      <c r="D44" s="132"/>
      <c r="E44" s="132"/>
      <c r="F44" s="132"/>
      <c r="G44" s="132"/>
      <c r="I44" s="11"/>
      <c r="J44" s="6"/>
      <c r="K44" s="6"/>
      <c r="L44" s="6"/>
      <c r="M44" s="6"/>
    </row>
    <row r="45" spans="1:13" ht="16.5">
      <c r="A45" s="88" t="s">
        <v>164</v>
      </c>
      <c r="B45" s="133"/>
      <c r="C45" s="133"/>
      <c r="D45" s="133"/>
      <c r="E45" s="133"/>
      <c r="F45" s="133"/>
      <c r="G45" s="133"/>
      <c r="I45" s="11"/>
      <c r="J45" s="6"/>
      <c r="K45" s="6"/>
      <c r="L45" s="6"/>
      <c r="M45" s="6"/>
    </row>
    <row r="46" spans="1:13" ht="14.25">
      <c r="A46" s="42" t="s">
        <v>90</v>
      </c>
      <c r="B46" s="133"/>
      <c r="C46" s="133"/>
      <c r="D46" s="133"/>
      <c r="E46" s="133"/>
      <c r="F46" s="133"/>
      <c r="G46" s="133"/>
      <c r="H46" s="1"/>
      <c r="I46" s="11"/>
      <c r="J46" s="6"/>
      <c r="K46" s="6"/>
      <c r="L46" s="6"/>
      <c r="M46" s="6"/>
    </row>
    <row r="47" spans="1:13" ht="14.25">
      <c r="A47" s="42" t="s">
        <v>165</v>
      </c>
      <c r="B47" s="42"/>
      <c r="C47" s="42"/>
      <c r="D47" s="42"/>
      <c r="E47" s="42"/>
      <c r="F47" s="42"/>
      <c r="G47" s="42"/>
      <c r="I47" s="11"/>
      <c r="J47" s="6"/>
      <c r="K47" s="6"/>
      <c r="L47" s="6"/>
      <c r="M47" s="6"/>
    </row>
    <row r="48" spans="1:13" ht="14.25">
      <c r="A48" s="42" t="s">
        <v>26</v>
      </c>
      <c r="B48" s="80">
        <f ca="1">NOW()</f>
        <v>43357.319098148146</v>
      </c>
      <c r="C48" s="42"/>
      <c r="D48" s="42"/>
      <c r="E48" s="42"/>
      <c r="F48" s="42"/>
      <c r="G48" s="42"/>
      <c r="I48" s="12"/>
      <c r="J48" s="8"/>
      <c r="K48" s="8"/>
      <c r="L48" s="8"/>
      <c r="M48" s="8"/>
    </row>
    <row r="49" spans="6:13" ht="15.75">
      <c r="F49" s="14"/>
      <c r="I49" s="12"/>
      <c r="J49" s="8"/>
      <c r="K49" s="8"/>
      <c r="L49" s="8"/>
      <c r="M49" s="8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5" spans="9:13" ht="12.75">
      <c r="I55" s="11"/>
      <c r="J55" s="11"/>
      <c r="K55" s="6"/>
      <c r="L55" s="6"/>
      <c r="M55" s="6"/>
    </row>
    <row r="57" spans="9:13" ht="12.75">
      <c r="I57" s="9"/>
      <c r="J57" s="9"/>
      <c r="K57" s="9"/>
      <c r="L57" s="9"/>
      <c r="M57" s="9"/>
    </row>
    <row r="58" spans="9:13" ht="12.75">
      <c r="I58" s="9"/>
      <c r="J58" s="9"/>
      <c r="K58" s="9"/>
      <c r="L58" s="9"/>
      <c r="M58" s="9"/>
    </row>
    <row r="59" ht="12.75">
      <c r="J59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5" ht="15.75">
      <c r="A1" s="146" t="s">
        <v>209</v>
      </c>
      <c r="B1" s="143" t="s">
        <v>102</v>
      </c>
      <c r="C1" s="143" t="s">
        <v>103</v>
      </c>
      <c r="D1" s="143" t="s">
        <v>120</v>
      </c>
      <c r="E1" s="143" t="s">
        <v>123</v>
      </c>
    </row>
    <row r="2" spans="1:5" ht="15.75">
      <c r="A2" s="147" t="s">
        <v>210</v>
      </c>
      <c r="B2" s="144"/>
      <c r="C2" s="144"/>
      <c r="D2" s="142"/>
      <c r="E2" s="142"/>
    </row>
    <row r="3" spans="1:5" ht="12.75">
      <c r="A3" s="142"/>
      <c r="B3" s="145" t="s">
        <v>208</v>
      </c>
      <c r="C3" s="145"/>
      <c r="D3" s="142"/>
      <c r="E3" s="142"/>
    </row>
    <row r="4" spans="1:5" ht="15.75">
      <c r="A4" s="143" t="s">
        <v>197</v>
      </c>
      <c r="B4" s="148">
        <v>895.259542081464</v>
      </c>
      <c r="C4" s="148">
        <v>891.726434705862</v>
      </c>
      <c r="D4" s="148">
        <v>932.548023651825</v>
      </c>
      <c r="E4" s="148">
        <v>781.952618503413</v>
      </c>
    </row>
    <row r="5" spans="1:5" ht="15.75">
      <c r="A5" s="143" t="s">
        <v>198</v>
      </c>
      <c r="B5" s="148">
        <v>1312.119178996752</v>
      </c>
      <c r="C5" s="148">
        <v>1183.4835892006051</v>
      </c>
      <c r="D5" s="148">
        <v>1012.5142668425611</v>
      </c>
      <c r="E5" s="148">
        <v>1114.535911181616</v>
      </c>
    </row>
    <row r="6" spans="1:5" ht="15.75">
      <c r="A6" s="143" t="s">
        <v>199</v>
      </c>
      <c r="B6" s="148">
        <v>1369.4503046611592</v>
      </c>
      <c r="C6" s="148">
        <v>1069.008448550175</v>
      </c>
      <c r="D6" s="148">
        <v>939.613800785562</v>
      </c>
      <c r="E6" s="148">
        <v>1188.917840232486</v>
      </c>
    </row>
    <row r="7" spans="1:5" ht="15.75">
      <c r="A7" s="143" t="s">
        <v>200</v>
      </c>
      <c r="B7" s="148">
        <v>1526.2509854981342</v>
      </c>
      <c r="C7" s="148">
        <v>1100.370727610154</v>
      </c>
      <c r="D7" s="148">
        <v>1307.5676608182932</v>
      </c>
      <c r="E7" s="148">
        <v>1182.721833877122</v>
      </c>
    </row>
    <row r="8" spans="1:5" ht="15.75">
      <c r="A8" s="143" t="s">
        <v>201</v>
      </c>
      <c r="B8" s="148">
        <v>1245.7301025976378</v>
      </c>
      <c r="C8" s="148">
        <v>1207.6890854329981</v>
      </c>
      <c r="D8" s="148">
        <v>1054.5197267794142</v>
      </c>
      <c r="E8" s="148">
        <v>1243.286018965242</v>
      </c>
    </row>
    <row r="9" spans="1:5" ht="15.75">
      <c r="A9" s="143" t="s">
        <v>202</v>
      </c>
      <c r="B9" s="148">
        <v>1275.658926512418</v>
      </c>
      <c r="C9" s="148">
        <v>1006.1783507658331</v>
      </c>
      <c r="D9" s="148">
        <v>1443.033804501576</v>
      </c>
      <c r="E9" s="148">
        <v>1414.8464809501893</v>
      </c>
    </row>
    <row r="10" spans="1:5" ht="15.75">
      <c r="A10" s="143" t="s">
        <v>203</v>
      </c>
      <c r="B10" s="148">
        <v>1252.6954481761652</v>
      </c>
      <c r="C10" s="148">
        <v>1061.876174505363</v>
      </c>
      <c r="D10" s="148">
        <v>909.9151779884671</v>
      </c>
      <c r="E10" s="148">
        <v>1328.4105496290092</v>
      </c>
    </row>
    <row r="11" spans="1:5" ht="15.75">
      <c r="A11" s="143" t="s">
        <v>65</v>
      </c>
      <c r="B11" s="148">
        <v>979.2810992563201</v>
      </c>
      <c r="C11" s="148">
        <v>1050.688542383991</v>
      </c>
      <c r="D11" s="148">
        <v>798.2630921853001</v>
      </c>
      <c r="E11" s="148">
        <v>1334.968224223473</v>
      </c>
    </row>
    <row r="12" spans="1:5" ht="15.75">
      <c r="A12" s="143" t="s">
        <v>204</v>
      </c>
      <c r="B12" s="148">
        <v>993.7030551521221</v>
      </c>
      <c r="C12" s="148">
        <v>759.9635037247681</v>
      </c>
      <c r="D12" s="148">
        <v>851.02706008278</v>
      </c>
      <c r="E12" s="148">
        <v>1477.6970960491742</v>
      </c>
    </row>
    <row r="13" spans="1:5" ht="15.75">
      <c r="A13" s="143" t="s">
        <v>205</v>
      </c>
      <c r="B13" s="148">
        <v>785.170956563721</v>
      </c>
      <c r="C13" s="148">
        <v>978.548302745118</v>
      </c>
      <c r="D13" s="148">
        <v>772.963706608947</v>
      </c>
      <c r="E13" s="148">
        <v>1253.466635974875</v>
      </c>
    </row>
    <row r="14" spans="1:5" ht="15.75">
      <c r="A14" s="143" t="s">
        <v>206</v>
      </c>
      <c r="B14" s="148">
        <v>856.1210817222</v>
      </c>
      <c r="C14" s="148">
        <v>755.5780542100141</v>
      </c>
      <c r="D14" s="148">
        <v>872.9805029751541</v>
      </c>
      <c r="E14" s="148"/>
    </row>
    <row r="15" spans="1:5" ht="15.75">
      <c r="A15" s="143" t="s">
        <v>207</v>
      </c>
      <c r="B15" s="148">
        <v>615.8550929895</v>
      </c>
      <c r="C15" s="148">
        <v>888.437904788007</v>
      </c>
      <c r="D15" s="148">
        <v>685.3410537206311</v>
      </c>
      <c r="E15" s="148"/>
    </row>
    <row r="16" spans="1:4" ht="15.75">
      <c r="A16" s="136"/>
      <c r="B16" s="135"/>
      <c r="C16" s="135"/>
      <c r="D16" s="134"/>
    </row>
    <row r="17" spans="1:4" ht="15.75">
      <c r="A17" s="136"/>
      <c r="B17" s="135"/>
      <c r="C17" s="135"/>
      <c r="D17" s="134"/>
    </row>
    <row r="18" spans="1:4" ht="15.75">
      <c r="A18" s="136"/>
      <c r="B18" s="135"/>
      <c r="C18" s="135"/>
      <c r="D18" s="134"/>
    </row>
    <row r="19" spans="1:4" ht="15.75">
      <c r="A19" s="136"/>
      <c r="B19" s="135"/>
      <c r="C19" s="135"/>
      <c r="D19" s="134"/>
    </row>
    <row r="20" spans="1:3" ht="12.75">
      <c r="A20" s="136"/>
      <c r="B20" s="135"/>
      <c r="C20" s="135"/>
    </row>
    <row r="21" spans="1:3" ht="12.75">
      <c r="A21" s="136"/>
      <c r="B21" s="135"/>
      <c r="C21" s="135"/>
    </row>
    <row r="22" spans="1:3" ht="12.75">
      <c r="A22" s="136"/>
      <c r="B22" s="135"/>
      <c r="C22" s="135"/>
    </row>
    <row r="23" spans="1:3" ht="12.75">
      <c r="A23" s="136"/>
      <c r="B23" s="135"/>
      <c r="C23" s="135"/>
    </row>
    <row r="24" spans="1:3" ht="12.75">
      <c r="A24" s="136"/>
      <c r="B24" s="135"/>
      <c r="C24" s="135"/>
    </row>
    <row r="25" spans="1:3" ht="12.75">
      <c r="A25" s="136"/>
      <c r="B25" s="135"/>
      <c r="C25" s="135"/>
    </row>
    <row r="26" spans="1:3" ht="12.75">
      <c r="A26" s="136"/>
      <c r="B26" s="135"/>
      <c r="C26" s="135"/>
    </row>
    <row r="27" spans="1:3" ht="12.75">
      <c r="A27" s="136"/>
      <c r="B27" s="135"/>
      <c r="C27" s="135"/>
    </row>
    <row r="28" spans="1:3" ht="12.75">
      <c r="A28" s="136"/>
      <c r="B28" s="135"/>
      <c r="C28" s="135"/>
    </row>
    <row r="29" spans="1:3" ht="12.75">
      <c r="A29" s="136"/>
      <c r="B29" s="135"/>
      <c r="C29" s="135"/>
    </row>
    <row r="30" spans="1:3" ht="12.75">
      <c r="A30" s="136"/>
      <c r="B30" s="135"/>
      <c r="C30" s="135"/>
    </row>
    <row r="31" spans="1:3" ht="12.75">
      <c r="A31" s="136"/>
      <c r="B31" s="135"/>
      <c r="C31" s="135"/>
    </row>
    <row r="32" spans="1:3" ht="12.75">
      <c r="A32" s="136"/>
      <c r="B32" s="135"/>
      <c r="C32" s="135"/>
    </row>
    <row r="33" spans="1:3" ht="12.75">
      <c r="A33" s="136"/>
      <c r="B33" s="135"/>
      <c r="C33" s="135"/>
    </row>
    <row r="34" spans="1:3" ht="12.75">
      <c r="A34" s="136"/>
      <c r="B34" s="135"/>
      <c r="C34" s="135"/>
    </row>
    <row r="35" spans="1:3" ht="12.75">
      <c r="A35" s="136"/>
      <c r="B35" s="135"/>
      <c r="C35" s="135"/>
    </row>
    <row r="36" spans="1:3" ht="12.75">
      <c r="A36" s="136"/>
      <c r="B36" s="135"/>
      <c r="C36" s="135"/>
    </row>
    <row r="37" spans="1:3" ht="12.75">
      <c r="A37" s="136"/>
      <c r="B37" s="135"/>
      <c r="C37" s="135"/>
    </row>
    <row r="38" spans="1:3" ht="12.75">
      <c r="A38" s="136"/>
      <c r="B38" s="135"/>
      <c r="C38" s="135"/>
    </row>
    <row r="39" spans="1:3" ht="12.75">
      <c r="A39" s="136"/>
      <c r="B39" s="135"/>
      <c r="C39" s="135"/>
    </row>
    <row r="40" spans="1:3" ht="12.75">
      <c r="A40" s="136"/>
      <c r="B40" s="135"/>
      <c r="C40" s="135"/>
    </row>
    <row r="41" spans="1:3" ht="12.75">
      <c r="A41" s="136"/>
      <c r="B41" s="135"/>
      <c r="C41" s="135"/>
    </row>
    <row r="42" spans="1:3" ht="12.75">
      <c r="A42" s="136"/>
      <c r="B42" s="135"/>
      <c r="C42" s="135"/>
    </row>
    <row r="43" spans="1:3" ht="12.75">
      <c r="A43" s="136"/>
      <c r="B43" s="135"/>
      <c r="C43" s="135"/>
    </row>
    <row r="44" spans="1:3" ht="12.75">
      <c r="A44" s="136"/>
      <c r="B44" s="135"/>
      <c r="C44" s="135"/>
    </row>
    <row r="45" spans="1:3" ht="12.75">
      <c r="A45" s="136"/>
      <c r="B45" s="135"/>
      <c r="C45" s="135"/>
    </row>
    <row r="46" spans="1:3" ht="12.75">
      <c r="A46" s="136"/>
      <c r="B46" s="135"/>
      <c r="C46" s="135"/>
    </row>
    <row r="47" spans="1:3" ht="12.75">
      <c r="A47" s="136"/>
      <c r="B47" s="135"/>
      <c r="C47" s="135"/>
    </row>
    <row r="48" spans="1:3" ht="12.75">
      <c r="A48" s="136"/>
      <c r="B48" s="135"/>
      <c r="C48" s="135"/>
    </row>
    <row r="49" spans="1:3" ht="12.75">
      <c r="A49" s="136"/>
      <c r="B49" s="135"/>
      <c r="C49" s="135"/>
    </row>
    <row r="50" spans="1:3" ht="12.75">
      <c r="A50" s="136"/>
      <c r="B50" s="135"/>
      <c r="C50" s="135"/>
    </row>
    <row r="51" spans="1:3" ht="12.75">
      <c r="A51" s="136"/>
      <c r="B51" s="135"/>
      <c r="C51" s="135"/>
    </row>
    <row r="52" spans="1:3" ht="12.75">
      <c r="A52" s="136"/>
      <c r="B52" s="135"/>
      <c r="C52" s="135"/>
    </row>
    <row r="53" spans="1:3" ht="12.75">
      <c r="A53" s="136"/>
      <c r="B53" s="135"/>
      <c r="C53" s="135"/>
    </row>
    <row r="54" spans="1:3" ht="12.75">
      <c r="A54" s="136"/>
      <c r="B54" s="135"/>
      <c r="C54" s="135"/>
    </row>
    <row r="55" spans="1:3" ht="12.75">
      <c r="A55" s="136"/>
      <c r="B55" s="135"/>
      <c r="C55" s="135"/>
    </row>
    <row r="56" spans="1:3" ht="12.75">
      <c r="A56" s="136"/>
      <c r="B56" s="135"/>
      <c r="C56" s="135"/>
    </row>
    <row r="57" spans="1:3" ht="12.75">
      <c r="A57" s="136"/>
      <c r="B57" s="135"/>
      <c r="C57" s="135"/>
    </row>
    <row r="58" spans="1:3" ht="12.75">
      <c r="A58" s="136"/>
      <c r="B58" s="135"/>
      <c r="C58" s="135"/>
    </row>
    <row r="59" spans="1:3" ht="12.75">
      <c r="A59" s="136"/>
      <c r="B59" s="135"/>
      <c r="C59" s="135"/>
    </row>
    <row r="60" spans="1:3" ht="12.75">
      <c r="A60" s="136"/>
      <c r="B60" s="135"/>
      <c r="C60" s="135"/>
    </row>
    <row r="61" spans="1:3" ht="12.75">
      <c r="A61" s="136"/>
      <c r="B61" s="135"/>
      <c r="C61" s="135"/>
    </row>
    <row r="62" spans="1:3" ht="12.75">
      <c r="A62" s="136"/>
      <c r="B62" s="135"/>
      <c r="C62" s="135"/>
    </row>
    <row r="63" spans="1:3" ht="12.75">
      <c r="A63" s="136"/>
      <c r="B63" s="135"/>
      <c r="C63" s="135"/>
    </row>
    <row r="64" spans="1:3" ht="12.75">
      <c r="A64" s="136"/>
      <c r="B64" s="135"/>
      <c r="C64" s="135"/>
    </row>
    <row r="65" spans="1:3" ht="12.75">
      <c r="A65" s="136"/>
      <c r="B65" s="135"/>
      <c r="C65" s="135"/>
    </row>
    <row r="66" spans="1:3" ht="12.75">
      <c r="A66" s="136"/>
      <c r="B66" s="135"/>
      <c r="C66" s="135"/>
    </row>
    <row r="67" spans="1:3" ht="12.75">
      <c r="A67" s="136"/>
      <c r="B67" s="135"/>
      <c r="C67" s="135"/>
    </row>
    <row r="68" spans="1:3" ht="12.75">
      <c r="A68" s="136"/>
      <c r="B68" s="135"/>
      <c r="C68" s="135"/>
    </row>
    <row r="69" spans="1:3" ht="12.75">
      <c r="A69" s="136"/>
      <c r="B69" s="135"/>
      <c r="C69" s="135"/>
    </row>
    <row r="70" spans="1:3" ht="12.75">
      <c r="A70" s="136"/>
      <c r="B70" s="135"/>
      <c r="C70" s="135"/>
    </row>
    <row r="71" spans="1:3" ht="12.75">
      <c r="A71" s="136"/>
      <c r="B71" s="135"/>
      <c r="C71" s="135"/>
    </row>
    <row r="72" spans="1:3" ht="12.75">
      <c r="A72" s="136"/>
      <c r="B72" s="135"/>
      <c r="C72" s="135"/>
    </row>
    <row r="73" spans="1:3" ht="12.75">
      <c r="A73" s="136"/>
      <c r="B73" s="135"/>
      <c r="C73" s="135"/>
    </row>
    <row r="74" spans="1:3" ht="12.75">
      <c r="A74" s="136"/>
      <c r="B74" s="135"/>
      <c r="C74" s="135"/>
    </row>
    <row r="75" spans="1:3" ht="12.75">
      <c r="A75" s="136"/>
      <c r="B75" s="135"/>
      <c r="C75" s="135"/>
    </row>
    <row r="76" spans="1:3" ht="12.75">
      <c r="A76" s="136"/>
      <c r="B76" s="135"/>
      <c r="C76" s="135"/>
    </row>
    <row r="77" spans="1:3" ht="12.75">
      <c r="A77" s="136"/>
      <c r="B77" s="135"/>
      <c r="C77" s="135"/>
    </row>
    <row r="78" spans="1:3" ht="12.75">
      <c r="A78" s="136"/>
      <c r="B78" s="135"/>
      <c r="C78" s="135"/>
    </row>
    <row r="79" spans="1:3" ht="12.75">
      <c r="A79" s="136"/>
      <c r="B79" s="135"/>
      <c r="C79" s="135"/>
    </row>
    <row r="80" spans="1:3" ht="12.75">
      <c r="A80" s="136"/>
      <c r="B80" s="135"/>
      <c r="C80" s="135"/>
    </row>
    <row r="81" spans="1:3" ht="12.75">
      <c r="A81" s="136"/>
      <c r="B81" s="135"/>
      <c r="C81" s="135"/>
    </row>
    <row r="82" spans="1:3" ht="12.75">
      <c r="A82" s="136"/>
      <c r="B82" s="135"/>
      <c r="C82" s="135"/>
    </row>
    <row r="83" spans="1:3" ht="12.75">
      <c r="A83" s="136"/>
      <c r="B83" s="135"/>
      <c r="C83" s="135"/>
    </row>
    <row r="84" spans="1:3" ht="12.75">
      <c r="A84" s="136"/>
      <c r="B84" s="135"/>
      <c r="C84" s="135"/>
    </row>
    <row r="85" spans="1:3" ht="12.75">
      <c r="A85" s="136"/>
      <c r="B85" s="135"/>
      <c r="C85" s="135"/>
    </row>
    <row r="86" spans="1:3" ht="12.75">
      <c r="A86" s="136"/>
      <c r="B86" s="135"/>
      <c r="C86" s="135"/>
    </row>
    <row r="87" spans="1:3" ht="12.75">
      <c r="A87" s="136"/>
      <c r="B87" s="135"/>
      <c r="C87" s="135"/>
    </row>
    <row r="88" spans="1:3" ht="12.75">
      <c r="A88" s="136"/>
      <c r="B88" s="135"/>
      <c r="C88" s="135"/>
    </row>
    <row r="89" spans="1:3" ht="12.75">
      <c r="A89" s="136"/>
      <c r="B89" s="135"/>
      <c r="C89" s="135"/>
    </row>
    <row r="90" spans="1:3" ht="12.75">
      <c r="A90" s="136"/>
      <c r="B90" s="135"/>
      <c r="C90" s="135"/>
    </row>
    <row r="91" spans="1:3" ht="12.75">
      <c r="A91" s="136"/>
      <c r="B91" s="135"/>
      <c r="C91" s="135"/>
    </row>
    <row r="92" spans="1:3" ht="12.75">
      <c r="A92" s="136"/>
      <c r="B92" s="135"/>
      <c r="C92" s="135"/>
    </row>
    <row r="93" spans="1:3" ht="12.75">
      <c r="A93" s="136"/>
      <c r="B93" s="135"/>
      <c r="C93" s="135"/>
    </row>
    <row r="94" spans="1:3" ht="12.75">
      <c r="A94" s="136"/>
      <c r="B94" s="135"/>
      <c r="C94" s="135"/>
    </row>
    <row r="95" spans="1:3" ht="12.75">
      <c r="A95" s="136"/>
      <c r="B95" s="135"/>
      <c r="C95" s="135"/>
    </row>
    <row r="96" spans="1:3" ht="12.75">
      <c r="A96" s="136"/>
      <c r="B96" s="135"/>
      <c r="C96" s="135"/>
    </row>
    <row r="97" spans="1:3" ht="12.75">
      <c r="A97" s="136"/>
      <c r="B97" s="135"/>
      <c r="C97" s="135"/>
    </row>
    <row r="98" spans="1:3" ht="12.75">
      <c r="A98" s="136"/>
      <c r="B98" s="135"/>
      <c r="C98" s="135"/>
    </row>
    <row r="99" spans="1:3" ht="12.75">
      <c r="A99" s="136"/>
      <c r="B99" s="135"/>
      <c r="C99" s="135"/>
    </row>
    <row r="100" spans="1:3" ht="12.75">
      <c r="A100" s="136"/>
      <c r="B100" s="135"/>
      <c r="C100" s="135"/>
    </row>
    <row r="101" spans="1:3" ht="12.75">
      <c r="A101" s="136"/>
      <c r="B101" s="135"/>
      <c r="C101" s="135"/>
    </row>
    <row r="102" spans="1:3" ht="12.75">
      <c r="A102" s="136"/>
      <c r="B102" s="135"/>
      <c r="C102" s="135"/>
    </row>
    <row r="103" spans="1:3" ht="12.75">
      <c r="A103" s="136"/>
      <c r="B103" s="135"/>
      <c r="C103" s="135"/>
    </row>
    <row r="104" spans="1:3" ht="12.75">
      <c r="A104" s="136"/>
      <c r="B104" s="135"/>
      <c r="C104" s="135"/>
    </row>
    <row r="105" spans="1:3" ht="12.75">
      <c r="A105" s="136"/>
      <c r="B105" s="135"/>
      <c r="C105" s="135"/>
    </row>
    <row r="106" spans="1:3" ht="12.75">
      <c r="A106" s="136"/>
      <c r="B106" s="135"/>
      <c r="C106" s="135"/>
    </row>
    <row r="107" spans="1:3" ht="12.75">
      <c r="A107" s="136"/>
      <c r="B107" s="135"/>
      <c r="C107" s="135"/>
    </row>
    <row r="108" spans="1:3" ht="12.75">
      <c r="A108" s="136"/>
      <c r="B108" s="135"/>
      <c r="C108" s="135"/>
    </row>
    <row r="109" spans="1:3" ht="12.75">
      <c r="A109" s="136"/>
      <c r="B109" s="135"/>
      <c r="C109" s="135"/>
    </row>
    <row r="110" spans="1:3" ht="12.75">
      <c r="A110" s="136"/>
      <c r="B110" s="135"/>
      <c r="C110" s="135"/>
    </row>
    <row r="111" spans="1:3" ht="12.75">
      <c r="A111" s="136"/>
      <c r="B111" s="135"/>
      <c r="C111" s="135"/>
    </row>
    <row r="112" spans="1:3" ht="12.75">
      <c r="A112" s="136"/>
      <c r="B112" s="135"/>
      <c r="C112" s="135"/>
    </row>
    <row r="113" spans="1:3" ht="12.75">
      <c r="A113" s="136"/>
      <c r="B113" s="135"/>
      <c r="C113" s="135"/>
    </row>
    <row r="114" spans="1:3" ht="12.75">
      <c r="A114" s="136"/>
      <c r="B114" s="135"/>
      <c r="C114" s="135"/>
    </row>
    <row r="115" spans="1:3" ht="12.75">
      <c r="A115" s="136"/>
      <c r="B115" s="135"/>
      <c r="C115" s="135"/>
    </row>
    <row r="116" spans="1:3" ht="12.75">
      <c r="A116" s="136"/>
      <c r="B116" s="135"/>
      <c r="C116" s="135"/>
    </row>
    <row r="117" spans="1:3" ht="12.75">
      <c r="A117" s="136"/>
      <c r="B117" s="135"/>
      <c r="C117" s="135"/>
    </row>
    <row r="118" spans="1:3" ht="12.75">
      <c r="A118" s="136"/>
      <c r="B118" s="135"/>
      <c r="C118" s="135"/>
    </row>
    <row r="119" spans="1:3" ht="12.75">
      <c r="A119" s="136"/>
      <c r="B119" s="135"/>
      <c r="C119" s="135"/>
    </row>
    <row r="120" spans="1:3" ht="12.75">
      <c r="A120" s="136"/>
      <c r="B120" s="135"/>
      <c r="C120" s="135"/>
    </row>
    <row r="121" spans="1:3" ht="12.75">
      <c r="A121" s="136"/>
      <c r="B121" s="135"/>
      <c r="C121" s="135"/>
    </row>
    <row r="122" spans="1:3" ht="12.75">
      <c r="A122" s="136"/>
      <c r="B122" s="135"/>
      <c r="C122" s="135"/>
    </row>
    <row r="123" spans="1:3" ht="12.75">
      <c r="A123" s="136"/>
      <c r="B123" s="135"/>
      <c r="C123" s="135"/>
    </row>
    <row r="124" spans="1:3" ht="12.75">
      <c r="A124" s="136"/>
      <c r="B124" s="135"/>
      <c r="C124" s="135"/>
    </row>
    <row r="125" spans="1:3" ht="12.75">
      <c r="A125" s="136"/>
      <c r="B125" s="135"/>
      <c r="C125" s="135"/>
    </row>
    <row r="126" spans="1:3" ht="12.75">
      <c r="A126" s="136"/>
      <c r="B126" s="135"/>
      <c r="C126" s="135"/>
    </row>
    <row r="127" spans="1:3" ht="12.75">
      <c r="A127" s="136"/>
      <c r="B127" s="135"/>
      <c r="C127" s="135"/>
    </row>
    <row r="128" spans="1:3" ht="12.75">
      <c r="A128" s="136"/>
      <c r="B128" s="135"/>
      <c r="C128" s="135"/>
    </row>
    <row r="129" spans="1:3" ht="12.75">
      <c r="A129" s="136"/>
      <c r="B129" s="135"/>
      <c r="C129" s="135"/>
    </row>
    <row r="130" spans="1:3" ht="12.75">
      <c r="A130" s="136"/>
      <c r="B130" s="135"/>
      <c r="C130" s="135"/>
    </row>
    <row r="131" spans="1:2" ht="12.75">
      <c r="A131" s="136"/>
      <c r="B131" s="135"/>
    </row>
    <row r="132" spans="1:3" ht="12.75">
      <c r="A132" s="136"/>
      <c r="B132" s="135"/>
      <c r="C132" s="135"/>
    </row>
    <row r="133" spans="1:3" ht="12.75">
      <c r="A133" s="136"/>
      <c r="B133" s="135"/>
      <c r="C133" s="135"/>
    </row>
    <row r="134" spans="1:3" ht="12.75">
      <c r="A134" s="136"/>
      <c r="B134" s="135"/>
      <c r="C134" s="135"/>
    </row>
    <row r="135" spans="1:3" ht="12.75">
      <c r="A135" s="136"/>
      <c r="B135" s="135"/>
      <c r="C135" s="135"/>
    </row>
    <row r="136" spans="1:3" ht="12.75">
      <c r="A136" s="136"/>
      <c r="B136" s="135"/>
      <c r="C136" s="135"/>
    </row>
    <row r="137" spans="1:3" ht="12.75">
      <c r="A137" s="136"/>
      <c r="B137" s="135"/>
      <c r="C137" s="135"/>
    </row>
    <row r="138" spans="1:3" ht="12.75">
      <c r="A138" s="136"/>
      <c r="B138" s="135"/>
      <c r="C138" s="135"/>
    </row>
    <row r="139" spans="1:3" ht="12.75">
      <c r="A139" s="136"/>
      <c r="B139" s="135"/>
      <c r="C139" s="135"/>
    </row>
    <row r="140" spans="1:3" ht="12.75">
      <c r="A140" s="136"/>
      <c r="B140" s="135"/>
      <c r="C140" s="135"/>
    </row>
    <row r="141" spans="1:3" ht="12.75">
      <c r="A141" s="136"/>
      <c r="B141" s="135"/>
      <c r="C141" s="135"/>
    </row>
    <row r="142" spans="1:3" ht="12.75">
      <c r="A142" s="136"/>
      <c r="B142" s="135"/>
      <c r="C142" s="135"/>
    </row>
    <row r="143" spans="1:3" ht="12.75">
      <c r="A143" s="136"/>
      <c r="B143" s="135"/>
      <c r="C143" s="135"/>
    </row>
    <row r="144" spans="1:3" ht="12.75">
      <c r="A144" s="136"/>
      <c r="B144" s="135"/>
      <c r="C144" s="135"/>
    </row>
    <row r="145" spans="1:3" ht="12.75">
      <c r="A145" s="136"/>
      <c r="B145" s="135"/>
      <c r="C145" s="135"/>
    </row>
    <row r="146" spans="1:3" ht="12.75">
      <c r="A146" s="136"/>
      <c r="B146" s="135"/>
      <c r="C146" s="135"/>
    </row>
    <row r="147" spans="1:3" ht="12.75">
      <c r="A147" s="136"/>
      <c r="B147" s="135"/>
      <c r="C147" s="135"/>
    </row>
    <row r="148" spans="1:3" ht="12.75">
      <c r="A148" s="136"/>
      <c r="B148" s="135"/>
      <c r="C148" s="135"/>
    </row>
    <row r="149" spans="1:3" ht="12.75">
      <c r="A149" s="136"/>
      <c r="B149" s="135"/>
      <c r="C149" s="135"/>
    </row>
    <row r="150" spans="1:3" ht="12.75">
      <c r="A150" s="136"/>
      <c r="B150" s="135"/>
      <c r="C150" s="135"/>
    </row>
    <row r="151" spans="1:3" ht="12.75">
      <c r="A151" s="136"/>
      <c r="B151" s="135"/>
      <c r="C151" s="135"/>
    </row>
    <row r="152" spans="1:3" ht="12.75">
      <c r="A152" s="136"/>
      <c r="B152" s="135"/>
      <c r="C152" s="135"/>
    </row>
    <row r="153" spans="1:3" ht="12.75">
      <c r="A153" s="136"/>
      <c r="B153" s="135"/>
      <c r="C153" s="135"/>
    </row>
    <row r="154" spans="1:3" ht="12.75">
      <c r="A154" s="136"/>
      <c r="B154" s="135"/>
      <c r="C154" s="135"/>
    </row>
    <row r="155" spans="1:3" ht="12.75">
      <c r="A155" s="136"/>
      <c r="B155" s="135"/>
      <c r="C155" s="135"/>
    </row>
    <row r="156" spans="1:3" ht="12.75">
      <c r="A156" s="136"/>
      <c r="B156" s="135"/>
      <c r="C156" s="135"/>
    </row>
    <row r="157" spans="1:3" ht="12.75">
      <c r="A157" s="136"/>
      <c r="B157" s="135"/>
      <c r="C157" s="135"/>
    </row>
    <row r="158" spans="1:2" ht="12.75">
      <c r="A158" s="136"/>
      <c r="B158" s="135"/>
    </row>
    <row r="159" spans="1:3" ht="12.75">
      <c r="A159" s="136"/>
      <c r="B159" s="135"/>
      <c r="C159" s="135"/>
    </row>
    <row r="160" spans="1:3" ht="12.75">
      <c r="A160" s="136"/>
      <c r="B160" s="135"/>
      <c r="C160" s="135"/>
    </row>
    <row r="161" spans="1:3" ht="12.75">
      <c r="A161" s="136"/>
      <c r="B161" s="135"/>
      <c r="C161" s="135"/>
    </row>
    <row r="162" spans="1:3" ht="12.75">
      <c r="A162" s="136"/>
      <c r="B162" s="135"/>
      <c r="C162" s="135"/>
    </row>
    <row r="163" spans="1:3" ht="12.75">
      <c r="A163" s="136"/>
      <c r="B163" s="135"/>
      <c r="C163" s="135"/>
    </row>
    <row r="164" spans="1:3" ht="12.75">
      <c r="A164" s="136"/>
      <c r="B164" s="135"/>
      <c r="C164" s="135"/>
    </row>
    <row r="165" spans="1:3" ht="12.75">
      <c r="A165" s="136"/>
      <c r="B165" s="135"/>
      <c r="C165" s="135"/>
    </row>
    <row r="166" spans="1:3" ht="12.75">
      <c r="A166" s="136"/>
      <c r="B166" s="135"/>
      <c r="C166" s="135"/>
    </row>
    <row r="167" spans="1:3" ht="12.75">
      <c r="A167" s="136"/>
      <c r="B167" s="135"/>
      <c r="C167" s="135"/>
    </row>
    <row r="168" spans="1:2" ht="12.75">
      <c r="A168" s="136"/>
      <c r="B168" s="135"/>
    </row>
    <row r="169" spans="1:3" ht="12.75">
      <c r="A169" s="136"/>
      <c r="B169" s="135"/>
      <c r="C169" s="135"/>
    </row>
    <row r="170" spans="1:3" ht="12.75">
      <c r="A170" s="136"/>
      <c r="B170" s="135"/>
      <c r="C170" s="135"/>
    </row>
    <row r="171" spans="1:3" ht="12.75">
      <c r="A171" s="136"/>
      <c r="B171" s="135"/>
      <c r="C171" s="135"/>
    </row>
    <row r="172" spans="1:3" ht="12.75">
      <c r="A172" s="136"/>
      <c r="B172" s="135"/>
      <c r="C172" s="135"/>
    </row>
    <row r="173" spans="1:3" ht="12.75">
      <c r="A173" s="136"/>
      <c r="B173" s="135"/>
      <c r="C173" s="135"/>
    </row>
    <row r="174" spans="1:3" ht="12.75">
      <c r="A174" s="136"/>
      <c r="B174" s="135"/>
      <c r="C174" s="135"/>
    </row>
    <row r="175" spans="1:3" ht="12.75">
      <c r="A175" s="136"/>
      <c r="B175" s="135"/>
      <c r="C175" s="135"/>
    </row>
    <row r="176" spans="1:3" ht="12.75">
      <c r="A176" s="136"/>
      <c r="B176" s="135"/>
      <c r="C176" s="135"/>
    </row>
    <row r="177" spans="1:3" ht="12.75">
      <c r="A177" s="136"/>
      <c r="B177" s="135"/>
      <c r="C177" s="135"/>
    </row>
    <row r="178" spans="1:3" ht="12.75">
      <c r="A178" s="136"/>
      <c r="B178" s="135"/>
      <c r="C178" s="135"/>
    </row>
    <row r="179" spans="1:3" ht="12.75">
      <c r="A179" s="136"/>
      <c r="B179" s="135"/>
      <c r="C179" s="135"/>
    </row>
    <row r="180" spans="1:3" ht="12.75">
      <c r="A180" s="136"/>
      <c r="B180" s="135"/>
      <c r="C180" s="135"/>
    </row>
    <row r="181" spans="1:3" ht="12.75">
      <c r="A181" s="136"/>
      <c r="B181" s="135"/>
      <c r="C181" s="135"/>
    </row>
    <row r="182" spans="1:3" ht="12.75">
      <c r="A182" s="136"/>
      <c r="B182" s="135"/>
      <c r="C182" s="135"/>
    </row>
    <row r="183" spans="1:3" ht="12.75">
      <c r="A183" s="136"/>
      <c r="B183" s="135"/>
      <c r="C183" s="135"/>
    </row>
    <row r="184" spans="1:3" ht="12.75">
      <c r="A184" s="136"/>
      <c r="B184" s="135"/>
      <c r="C184" s="135"/>
    </row>
    <row r="185" spans="1:3" ht="12.75">
      <c r="A185" s="136"/>
      <c r="B185" s="135"/>
      <c r="C185" s="135"/>
    </row>
    <row r="186" spans="1:3" ht="12.75">
      <c r="A186" s="136"/>
      <c r="B186" s="135"/>
      <c r="C186" s="135"/>
    </row>
    <row r="187" spans="1:3" ht="12.75">
      <c r="A187" s="136"/>
      <c r="B187" s="135"/>
      <c r="C187" s="135"/>
    </row>
    <row r="188" spans="1:3" ht="12.75">
      <c r="A188" s="136"/>
      <c r="B188" s="135"/>
      <c r="C188" s="135"/>
    </row>
    <row r="189" spans="1:3" ht="12.75">
      <c r="A189" s="136"/>
      <c r="B189" s="135"/>
      <c r="C189" s="135"/>
    </row>
    <row r="190" spans="1:3" ht="12.75">
      <c r="A190" s="136"/>
      <c r="B190" s="135"/>
      <c r="C190" s="135"/>
    </row>
    <row r="191" spans="1:3" ht="12.75">
      <c r="A191" s="136"/>
      <c r="B191" s="135"/>
      <c r="C191" s="135"/>
    </row>
    <row r="192" spans="1:3" ht="12.75">
      <c r="A192" s="136"/>
      <c r="B192" s="135"/>
      <c r="C192" s="135"/>
    </row>
    <row r="193" spans="1:3" ht="12.75">
      <c r="A193" s="136"/>
      <c r="B193" s="135"/>
      <c r="C193" s="135"/>
    </row>
    <row r="194" spans="1:3" ht="12.75">
      <c r="A194" s="136"/>
      <c r="B194" s="135"/>
      <c r="C194" s="135"/>
    </row>
    <row r="195" spans="1:3" ht="12.75">
      <c r="A195" s="136"/>
      <c r="B195" s="135"/>
      <c r="C195" s="135"/>
    </row>
    <row r="196" spans="1:3" ht="12.75">
      <c r="A196" s="136"/>
      <c r="B196" s="135"/>
      <c r="C196" s="135"/>
    </row>
    <row r="197" spans="1:3" ht="12.75">
      <c r="A197" s="136"/>
      <c r="B197" s="135"/>
      <c r="C197" s="135"/>
    </row>
    <row r="198" spans="1:3" ht="12.75">
      <c r="A198" s="136"/>
      <c r="B198" s="135"/>
      <c r="C198" s="135"/>
    </row>
    <row r="199" spans="1:3" ht="12.75">
      <c r="A199" s="136"/>
      <c r="B199" s="135"/>
      <c r="C199" s="135"/>
    </row>
    <row r="200" spans="1:3" ht="12.75">
      <c r="A200" s="136"/>
      <c r="B200" s="135"/>
      <c r="C200" s="135"/>
    </row>
    <row r="201" spans="1:3" ht="12.75">
      <c r="A201" s="136"/>
      <c r="B201" s="135"/>
      <c r="C201" s="135"/>
    </row>
    <row r="202" spans="1:3" ht="12.75">
      <c r="A202" s="136"/>
      <c r="B202" s="135"/>
      <c r="C202" s="135"/>
    </row>
    <row r="203" spans="1:3" ht="12.75">
      <c r="A203" s="136"/>
      <c r="B203" s="135"/>
      <c r="C203" s="135"/>
    </row>
    <row r="204" spans="1:3" ht="12.75">
      <c r="A204" s="136"/>
      <c r="B204" s="135"/>
      <c r="C204" s="135"/>
    </row>
    <row r="205" spans="1:3" ht="12.75">
      <c r="A205" s="136"/>
      <c r="B205" s="135"/>
      <c r="C205" s="135"/>
    </row>
    <row r="206" spans="1:3" ht="12.75">
      <c r="A206" s="136"/>
      <c r="B206" s="135"/>
      <c r="C206" s="135"/>
    </row>
    <row r="207" spans="1:3" ht="12.75">
      <c r="A207" s="136"/>
      <c r="B207" s="135"/>
      <c r="C207" s="135"/>
    </row>
    <row r="208" spans="1:3" ht="12.75">
      <c r="A208" s="136"/>
      <c r="B208" s="135"/>
      <c r="C208" s="135"/>
    </row>
    <row r="209" spans="1:3" ht="12.75">
      <c r="A209" s="136"/>
      <c r="B209" s="135"/>
      <c r="C209" s="135"/>
    </row>
    <row r="210" spans="1:3" ht="12.75">
      <c r="A210" s="136"/>
      <c r="B210" s="135"/>
      <c r="C210" s="135"/>
    </row>
    <row r="211" spans="1:3" ht="12.75">
      <c r="A211" s="136"/>
      <c r="B211" s="135"/>
      <c r="C211" s="135"/>
    </row>
    <row r="212" spans="1:3" ht="12.75">
      <c r="A212" s="136"/>
      <c r="B212" s="135"/>
      <c r="C212" s="135"/>
    </row>
    <row r="213" spans="1:3" ht="12.75">
      <c r="A213" s="137"/>
      <c r="C213" s="135"/>
    </row>
    <row r="214" spans="1:3" ht="12.75">
      <c r="A214" s="137"/>
      <c r="C214" s="135"/>
    </row>
    <row r="215" ht="12.75">
      <c r="A215" s="137"/>
    </row>
    <row r="216" ht="12.75">
      <c r="A216" s="137"/>
    </row>
    <row r="217" ht="12.75">
      <c r="A217" s="137"/>
    </row>
    <row r="218" ht="12.75">
      <c r="A218" s="1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OCS-18i, September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2018-09-14T11:39:49Z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