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1'!$A$1:$N$44</definedName>
    <definedName name="_xlnm.Print_Area" localSheetId="7">'Table 10'!$A$1:$G$40</definedName>
    <definedName name="_xlnm.Print_Area" localSheetId="2">'Table 2'!$A$1:$J$32</definedName>
    <definedName name="_xlnm.Print_Area" localSheetId="3">'Table 3'!$A$1:$M$33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<sst xmlns="http://schemas.openxmlformats.org/spreadsheetml/2006/main" count="513" uniqueCount="201">
  <si>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</si>
  <si>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</si>
  <si>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</si>
  <si>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</si>
  <si>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</si>
  <si>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</si>
  <si>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</si>
  <si>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</si>
  <si>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</si>
  <si>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</si>
  <si>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</si>
  <si>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</si>
  <si>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</si>
  <si>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</si>
  <si>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</si>
  <si>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</si>
  <si>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</si>
  <si>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</si>
  <si>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</si>
  <si>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</si>
  <si>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</si>
  <si>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</si>
  <si>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</si>
  <si>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</si>
  <si>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</si>
  <si>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</si>
  <si>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</si>
  <si>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</si>
  <si>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</si>
  <si>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</si>
  <si>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</si>
  <si>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</si>
  <si>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</si>
  <si>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</si>
  <si>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</si>
  <si>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</si>
  <si>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</si>
  <si>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</si>
  <si>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</si>
  <si>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</si>
  <si>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</si>
  <si>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</si>
  <si>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</si>
  <si>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</si>
  <si>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</si>
  <si>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</si>
  <si>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</si>
  <si>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</si>
  <si>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</si>
  <si>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</si>
  <si>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</si>
  <si>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&amp; residual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</si>
  <si>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</si>
  <si>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</si>
  <si>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</si>
  <si>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</si>
  <si>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</si>
  <si>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</si>
  <si>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</si>
  <si>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</si>
  <si>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</si>
  <si>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</si>
  <si>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</si>
  <si>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</si>
  <si>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</si>
  <si>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</si>
  <si>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</si>
  <si>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</si>
  <si>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</si>
  <si>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</si>
  <si>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</si>
  <si>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</si>
  <si>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</si>
  <si>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</si>
  <si>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</si>
  <si>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</si>
  <si>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</si>
  <si>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</si>
  <si>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</si>
  <si>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</si>
  <si>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</si>
  <si>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</si>
  <si>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</si>
  <si>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</si>
  <si>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</si>
  <si>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</si>
  <si>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</si>
  <si>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</si>
  <si>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</si>
  <si>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</si>
  <si>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</si>
  <si>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</si>
  <si>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</si>
  <si>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</si>
  <si>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</si>
  <si>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</si>
  <si>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</si>
  <si>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</si>
  <si>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</si>
  <si>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</si>
  <si>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</si>
  <si>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</si>
  <si>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</si>
  <si>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</si>
  <si>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</si>
  <si>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</si>
  <si>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</si>
  <si>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</si>
  <si>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</si>
  <si>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</si>
  <si>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</si>
  <si>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</si>
  <si>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</si>
  <si>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</si>
  <si>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</si>
  <si>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</si>
  <si>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</si>
  <si>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</si>
  <si>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</si>
  <si>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</si>
  <si>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</si>
  <si>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</si>
  <si>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</si>
  <si>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</si>
  <si>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</si>
  <si>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</si>
  <si>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</si>
  <si>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</si>
  <si>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</si>
  <si>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</si>
  <si>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</si>
  <si>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</si>
  <si>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</si>
  <si>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33.0-36.0</t>
  </si>
  <si>
    <t>160-190</t>
  </si>
  <si>
    <t>250-280</t>
  </si>
  <si>
    <t>Argentina</t>
  </si>
  <si>
    <t xml:space="preserve">soybean </t>
  </si>
  <si>
    <t>130-150</t>
  </si>
  <si>
    <t xml:space="preserve">Season-ending </t>
  </si>
  <si>
    <t>soybean stocks</t>
  </si>
  <si>
    <t>Million bushels</t>
  </si>
  <si>
    <t>Brazil</t>
  </si>
  <si>
    <t>$/ short ton</t>
  </si>
  <si>
    <t>price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</si>
  <si>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</si>
  <si>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</si>
  <si>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</si>
  <si>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</si>
  <si>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</si>
  <si>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</si>
  <si>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</si>
  <si>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</si>
  <si>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</si>
  <si>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</si>
  <si>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</si>
  <si>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</si>
  <si>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</si>
  <si>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</si>
  <si>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</si>
  <si>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</si>
  <si>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</si>
  <si>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</si>
  <si>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</si>
  <si>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</si>
  <si>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</si>
  <si>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</si>
  <si>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</si>
  <si>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</si>
  <si>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</si>
  <si>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</si>
  <si>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</si>
  <si>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</si>
  <si>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</si>
  <si>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</si>
  <si>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</si>
  <si>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</si>
  <si>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</si>
  <si>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</si>
  <si>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</si>
  <si>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</si>
  <si>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</si>
  <si>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</si>
  <si>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</si>
  <si>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</si>
  <si>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</si>
  <si>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</si>
  <si>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30.0-33.0</t>
  </si>
  <si>
    <t>32.5-35.5</t>
  </si>
  <si>
    <t>36.5-39.5</t>
  </si>
  <si>
    <t>65.0-68.0</t>
  </si>
  <si>
    <t>32.0-35.0</t>
  </si>
  <si>
    <t>325-355</t>
  </si>
  <si>
    <t>270-300</t>
  </si>
  <si>
    <t>220-250</t>
  </si>
  <si>
    <t>9.00-9.60</t>
  </si>
  <si>
    <t>17.00-18.00</t>
  </si>
  <si>
    <t>21.0-22.0</t>
  </si>
  <si>
    <t>53.0-56.0</t>
  </si>
  <si>
    <t>Soybean meal</t>
  </si>
  <si>
    <t>Soybeans (right axis)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</si>
</sst>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to swell to record high           </a:t>
            </a:r>
          </a:p>
        </c:rich>
      </c:tx>
      <c:layout>
        <c:manualLayout>
          <c:xMode val="factor"/>
          <c:yMode val="factor"/>
          <c:x val="-0.21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9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Cover!$A$1:$A$2</c:f>
              <c:strCache>
                <c:ptCount val="1"/>
                <c:pt idx="0">
                  <c:v>Season-ending  soybean stocks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Cover!$A$4:$A$36</c:f>
              <c:numCache/>
            </c:numRef>
          </c:cat>
          <c:val>
            <c:numRef>
              <c:f>Cover!$B$4:$B$36</c:f>
              <c:numCache/>
            </c:numRef>
          </c:val>
        </c:ser>
        <c:axId val="42327567"/>
        <c:axId val="45403784"/>
      </c:barChart>
      <c:date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Grain Stocks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5403784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7567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30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Illinois soybean meal prices surging toward a 2-year high   </a:t>
            </a:r>
          </a:p>
        </c:rich>
      </c:tx>
      <c:layout>
        <c:manualLayout>
          <c:xMode val="factor"/>
          <c:yMode val="factor"/>
          <c:x val="-0.155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5"/>
          <c:w val="0.863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1'!$B$4:$B$32</c:f>
              <c:numCache/>
            </c:numRef>
          </c:val>
          <c:smooth val="0"/>
        </c:ser>
        <c:marker val="1"/>
        <c:axId val="5980873"/>
        <c:axId val="53827858"/>
      </c:lineChart>
      <c:lineChart>
        <c:grouping val="standard"/>
        <c:varyColors val="0"/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Soybeans (right axis)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1'!$C$4:$C$32</c:f>
              <c:numCache/>
            </c:numRef>
          </c:val>
          <c:smooth val="0"/>
        </c:ser>
        <c:marker val="1"/>
        <c:axId val="14688675"/>
        <c:axId val="65089212"/>
      </c:lineChart>
      <c:date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Service, Central Illinois Soybean Processor report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3827858"/>
        <c:scaling>
          <c:orientation val="minMax"/>
          <c:max val="450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 short ton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873"/>
        <c:crossesAt val="1"/>
        <c:crossBetween val="between"/>
        <c:dispUnits/>
        <c:majorUnit val="50"/>
      </c:valAx>
      <c:dateAx>
        <c:axId val="14688675"/>
        <c:scaling>
          <c:orientation val="minMax"/>
        </c:scaling>
        <c:axPos val="b"/>
        <c:delete val="1"/>
        <c:majorTickMark val="out"/>
        <c:minorTickMark val="none"/>
        <c:tickLblPos val="nextTo"/>
        <c:crossAx val="6508921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5089212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86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4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Argentine soybean production losses moderated by good Brazil crop   </a:t>
            </a:r>
          </a:p>
        </c:rich>
      </c:tx>
      <c:layout>
        <c:manualLayout>
          <c:xMode val="factor"/>
          <c:yMode val="factor"/>
          <c:x val="-0.160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</c:ser>
        <c:overlap val="100"/>
        <c:axId val="48931997"/>
        <c:axId val="37734790"/>
      </c:barChart>
      <c:catAx>
        <c:axId val="4893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199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825"/>
          <c:w val="0.09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14</xdr:col>
      <xdr:colOff>381000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71750" y="1905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128</v>
      </c>
    </row>
    <row r="3" s="32" customFormat="1" ht="11.25">
      <c r="A3" s="31"/>
    </row>
    <row r="4" ht="12.75">
      <c r="A4" s="33" t="s">
        <v>129</v>
      </c>
    </row>
    <row r="5" spans="1:2" ht="12.75">
      <c r="A5" s="41">
        <f ca="1">TODAY()</f>
        <v>43171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75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52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130</v>
      </c>
      <c r="B17" s="38"/>
    </row>
    <row r="18" ht="12.75">
      <c r="A18" s="39" t="s">
        <v>131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199</v>
      </c>
      <c r="B1" s="24" t="s">
        <v>199</v>
      </c>
      <c r="C1" s="24" t="s">
        <v>200</v>
      </c>
    </row>
    <row r="2" spans="1:3" ht="15.75">
      <c r="A2" s="14" t="s">
        <v>144</v>
      </c>
      <c r="B2" s="10"/>
      <c r="C2" s="10"/>
    </row>
    <row r="3" spans="2:3" ht="12.75">
      <c r="B3" s="10" t="s">
        <v>143</v>
      </c>
      <c r="C3" s="10"/>
    </row>
    <row r="4" spans="1:3" ht="15.75">
      <c r="A4" s="54">
        <v>42278</v>
      </c>
      <c r="B4" s="53">
        <v>327.97</v>
      </c>
      <c r="C4" s="53">
        <v>8.93</v>
      </c>
    </row>
    <row r="5" spans="1:3" ht="15.75">
      <c r="A5" s="54">
        <v>42309</v>
      </c>
      <c r="B5" s="53">
        <v>308.6</v>
      </c>
      <c r="C5" s="53">
        <v>8.83</v>
      </c>
    </row>
    <row r="6" spans="1:3" ht="15.75">
      <c r="A6" s="54">
        <v>42339</v>
      </c>
      <c r="B6" s="53">
        <v>289.78</v>
      </c>
      <c r="C6" s="53">
        <v>8.9</v>
      </c>
    </row>
    <row r="7" spans="1:3" ht="15.75">
      <c r="A7" s="54">
        <v>42370</v>
      </c>
      <c r="B7" s="53">
        <v>279.56</v>
      </c>
      <c r="C7" s="53">
        <v>8.81</v>
      </c>
    </row>
    <row r="8" spans="1:3" ht="15.75">
      <c r="A8" s="54">
        <v>42401</v>
      </c>
      <c r="B8" s="53">
        <v>273.61</v>
      </c>
      <c r="C8" s="53">
        <v>8.82</v>
      </c>
    </row>
    <row r="9" spans="1:3" ht="15.75">
      <c r="A9" s="54">
        <v>42430</v>
      </c>
      <c r="B9" s="53">
        <v>276.22</v>
      </c>
      <c r="C9" s="53">
        <v>8.96</v>
      </c>
    </row>
    <row r="10" spans="1:3" ht="15.75">
      <c r="A10" s="54">
        <v>42461</v>
      </c>
      <c r="B10" s="53">
        <v>303.81</v>
      </c>
      <c r="C10" s="53">
        <v>9.61</v>
      </c>
    </row>
    <row r="11" spans="1:3" ht="15.75">
      <c r="A11" s="54">
        <v>42491</v>
      </c>
      <c r="B11" s="53">
        <v>376.35</v>
      </c>
      <c r="C11" s="53">
        <v>10.49</v>
      </c>
    </row>
    <row r="12" spans="1:3" ht="15.75">
      <c r="A12" s="54">
        <v>42522</v>
      </c>
      <c r="B12" s="53">
        <v>408.57</v>
      </c>
      <c r="C12" s="53">
        <v>11.4</v>
      </c>
    </row>
    <row r="13" spans="1:3" ht="15.75">
      <c r="A13" s="54">
        <v>42552</v>
      </c>
      <c r="B13" s="53">
        <v>371.49</v>
      </c>
      <c r="C13" s="53">
        <v>10.59</v>
      </c>
    </row>
    <row r="14" spans="1:3" ht="15.75">
      <c r="A14" s="54">
        <v>42583</v>
      </c>
      <c r="B14" s="53">
        <v>340.8</v>
      </c>
      <c r="C14" s="53">
        <v>10.24</v>
      </c>
    </row>
    <row r="15" spans="1:3" ht="15.75">
      <c r="A15" s="54">
        <v>42614</v>
      </c>
      <c r="B15" s="53">
        <v>337.95</v>
      </c>
      <c r="C15" s="53">
        <v>9.76</v>
      </c>
    </row>
    <row r="16" spans="1:3" ht="15.75">
      <c r="A16" s="54">
        <v>42644</v>
      </c>
      <c r="B16" s="53">
        <v>323.27</v>
      </c>
      <c r="C16" s="53">
        <v>9.56</v>
      </c>
    </row>
    <row r="17" spans="1:3" ht="15.75">
      <c r="A17" s="54">
        <v>42675</v>
      </c>
      <c r="B17" s="53">
        <v>322.41</v>
      </c>
      <c r="C17" s="53">
        <v>9.94</v>
      </c>
    </row>
    <row r="18" spans="1:3" ht="15.75">
      <c r="A18" s="54">
        <v>42705</v>
      </c>
      <c r="B18" s="53">
        <v>321.02</v>
      </c>
      <c r="C18" s="53">
        <v>10.16</v>
      </c>
    </row>
    <row r="19" spans="1:3" ht="15.75">
      <c r="A19" s="54">
        <v>42736</v>
      </c>
      <c r="B19" s="53">
        <v>332.34</v>
      </c>
      <c r="C19" s="53">
        <v>10.26</v>
      </c>
    </row>
    <row r="20" spans="1:3" ht="15.75">
      <c r="A20" s="54">
        <v>42767</v>
      </c>
      <c r="B20" s="53">
        <v>334.42</v>
      </c>
      <c r="C20" s="53">
        <v>10.26</v>
      </c>
    </row>
    <row r="21" spans="1:3" ht="15.75">
      <c r="A21" s="54">
        <v>42795</v>
      </c>
      <c r="B21" s="53">
        <v>320.34</v>
      </c>
      <c r="C21" s="53">
        <v>9.86</v>
      </c>
    </row>
    <row r="22" spans="1:3" ht="15.75">
      <c r="A22" s="54">
        <v>42826</v>
      </c>
      <c r="B22" s="53">
        <v>305.67</v>
      </c>
      <c r="C22" s="53">
        <v>9.37</v>
      </c>
    </row>
    <row r="23" spans="1:3" ht="15.75">
      <c r="A23" s="54">
        <v>42856</v>
      </c>
      <c r="B23" s="53">
        <v>307.63</v>
      </c>
      <c r="C23" s="53">
        <v>9.49</v>
      </c>
    </row>
    <row r="24" spans="1:3" ht="15.75">
      <c r="A24" s="54">
        <v>42887</v>
      </c>
      <c r="B24" s="53">
        <v>300.72</v>
      </c>
      <c r="C24" s="53">
        <v>9.23</v>
      </c>
    </row>
    <row r="25" spans="1:3" ht="15.75">
      <c r="A25" s="54">
        <v>42917</v>
      </c>
      <c r="B25" s="53">
        <v>326.04</v>
      </c>
      <c r="C25" s="53">
        <v>9.91</v>
      </c>
    </row>
    <row r="26" spans="1:3" ht="15.75">
      <c r="A26" s="54">
        <v>42948</v>
      </c>
      <c r="B26" s="53">
        <v>301.05</v>
      </c>
      <c r="C26" s="53">
        <v>9.39</v>
      </c>
    </row>
    <row r="27" spans="1:3" ht="15.75">
      <c r="A27" s="54">
        <v>42979</v>
      </c>
      <c r="B27" s="53">
        <v>307.7</v>
      </c>
      <c r="C27" s="53">
        <v>9.5</v>
      </c>
    </row>
    <row r="28" spans="1:3" ht="15.75">
      <c r="A28" s="54">
        <v>43009</v>
      </c>
      <c r="B28" s="53">
        <v>315.23</v>
      </c>
      <c r="C28" s="53">
        <v>9.47</v>
      </c>
    </row>
    <row r="29" spans="1:3" ht="15.75">
      <c r="A29" s="54">
        <v>43040</v>
      </c>
      <c r="B29" s="53">
        <v>313.52</v>
      </c>
      <c r="C29" s="53">
        <v>9.7</v>
      </c>
    </row>
    <row r="30" spans="1:3" ht="15.75">
      <c r="A30" s="54">
        <v>43070</v>
      </c>
      <c r="B30" s="53">
        <v>319.22</v>
      </c>
      <c r="C30" s="53">
        <v>9.6</v>
      </c>
    </row>
    <row r="31" spans="1:3" ht="15.75">
      <c r="A31" s="54">
        <v>43101</v>
      </c>
      <c r="B31" s="53">
        <v>322.6</v>
      </c>
      <c r="C31" s="53">
        <v>9.63</v>
      </c>
    </row>
    <row r="32" spans="1:3" ht="15.75">
      <c r="A32" s="54">
        <v>43132</v>
      </c>
      <c r="B32" s="53">
        <v>362.85</v>
      </c>
      <c r="C32" s="53">
        <v>9.99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137</v>
      </c>
      <c r="B1" s="24" t="s">
        <v>136</v>
      </c>
      <c r="C1" s="14" t="s">
        <v>142</v>
      </c>
      <c r="D1" s="14"/>
      <c r="E1" s="10"/>
      <c r="F1" s="24"/>
    </row>
    <row r="2" spans="1:3" ht="15.75">
      <c r="A2" s="14" t="s">
        <v>1</v>
      </c>
      <c r="B2" s="10"/>
      <c r="C2" s="10"/>
    </row>
    <row r="3" spans="2:3" ht="12.75">
      <c r="B3" s="10" t="s">
        <v>132</v>
      </c>
      <c r="C3" s="10" t="s">
        <v>132</v>
      </c>
    </row>
    <row r="4" spans="1:6" ht="15.75">
      <c r="A4" s="14" t="s">
        <v>54</v>
      </c>
      <c r="B4" s="48">
        <v>46.2</v>
      </c>
      <c r="C4" s="48">
        <v>61</v>
      </c>
      <c r="D4" s="49"/>
      <c r="E4" s="27"/>
      <c r="F4" s="27"/>
    </row>
    <row r="5" spans="1:6" ht="15.75">
      <c r="A5" s="14" t="s">
        <v>55</v>
      </c>
      <c r="B5" s="48">
        <v>32</v>
      </c>
      <c r="C5" s="48">
        <v>57.8</v>
      </c>
      <c r="D5" s="49"/>
      <c r="E5" s="27"/>
      <c r="F5" s="27"/>
    </row>
    <row r="6" spans="1:6" ht="15.75">
      <c r="A6" s="14" t="s">
        <v>57</v>
      </c>
      <c r="B6" s="48">
        <v>54.5</v>
      </c>
      <c r="C6" s="48">
        <v>69</v>
      </c>
      <c r="D6" s="49"/>
      <c r="E6" s="27"/>
      <c r="F6" s="27"/>
    </row>
    <row r="7" spans="1:6" ht="15.75">
      <c r="A7" s="14" t="s">
        <v>58</v>
      </c>
      <c r="B7" s="48">
        <v>49</v>
      </c>
      <c r="C7" s="48">
        <v>75.3</v>
      </c>
      <c r="D7" s="49"/>
      <c r="E7" s="25"/>
      <c r="F7" s="27"/>
    </row>
    <row r="8" spans="1:6" ht="15.75">
      <c r="A8" s="14" t="s">
        <v>69</v>
      </c>
      <c r="B8" s="48">
        <v>40.1</v>
      </c>
      <c r="C8" s="48">
        <v>66.5</v>
      </c>
      <c r="D8" s="49"/>
      <c r="E8" s="25"/>
      <c r="F8" s="27"/>
    </row>
    <row r="9" spans="1:6" ht="15.75">
      <c r="A9" s="14" t="s">
        <v>93</v>
      </c>
      <c r="B9" s="48">
        <v>49.3</v>
      </c>
      <c r="C9" s="48">
        <v>82</v>
      </c>
      <c r="D9" s="49"/>
      <c r="E9" s="25"/>
      <c r="F9" s="27"/>
    </row>
    <row r="10" spans="1:6" ht="15.75">
      <c r="A10" s="14" t="s">
        <v>101</v>
      </c>
      <c r="B10" s="48">
        <v>53.4</v>
      </c>
      <c r="C10" s="48">
        <v>86.7</v>
      </c>
      <c r="D10" s="49"/>
      <c r="E10" s="25"/>
      <c r="F10" s="27"/>
    </row>
    <row r="11" spans="1:4" ht="15.75">
      <c r="A11" s="14" t="s">
        <v>104</v>
      </c>
      <c r="B11" s="48">
        <v>61.4</v>
      </c>
      <c r="C11" s="48">
        <v>97.2</v>
      </c>
      <c r="D11" s="48"/>
    </row>
    <row r="12" spans="1:4" ht="15.75">
      <c r="A12" s="14" t="s">
        <v>105</v>
      </c>
      <c r="B12" s="48">
        <v>56.8</v>
      </c>
      <c r="C12" s="48">
        <v>96.5</v>
      </c>
      <c r="D12" s="48"/>
    </row>
    <row r="13" spans="1:4" ht="15.75">
      <c r="A13" s="14" t="s">
        <v>123</v>
      </c>
      <c r="B13" s="48">
        <v>57.8</v>
      </c>
      <c r="C13" s="48">
        <v>114.1</v>
      </c>
      <c r="D13" s="48"/>
    </row>
    <row r="14" spans="1:4" ht="15.75">
      <c r="A14" s="14" t="s">
        <v>127</v>
      </c>
      <c r="B14" s="48">
        <v>48.5</v>
      </c>
      <c r="C14" s="48">
        <v>113</v>
      </c>
      <c r="D14" s="48"/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>
      <c r="A2" s="56"/>
      <c r="B2" s="150" t="s">
        <v>27</v>
      </c>
      <c r="C2" s="150"/>
      <c r="D2" s="58" t="s">
        <v>30</v>
      </c>
      <c r="E2" s="150" t="s">
        <v>94</v>
      </c>
      <c r="F2" s="150"/>
      <c r="G2" s="150"/>
      <c r="H2" s="150"/>
      <c r="I2" s="59"/>
      <c r="J2" s="150" t="s">
        <v>72</v>
      </c>
      <c r="K2" s="150"/>
      <c r="L2" s="150"/>
      <c r="M2" s="150"/>
      <c r="N2" s="56"/>
    </row>
    <row r="3" spans="1:14" ht="14.25">
      <c r="A3" s="56" t="s">
        <v>86</v>
      </c>
      <c r="B3" s="58" t="s">
        <v>28</v>
      </c>
      <c r="C3" s="56" t="s">
        <v>29</v>
      </c>
      <c r="D3" s="58"/>
      <c r="E3" s="60" t="s">
        <v>8</v>
      </c>
      <c r="F3" s="60"/>
      <c r="G3" s="60"/>
      <c r="H3" s="60"/>
      <c r="I3" s="60"/>
      <c r="J3" s="58" t="s">
        <v>74</v>
      </c>
      <c r="K3" s="60" t="s">
        <v>103</v>
      </c>
      <c r="L3" s="60"/>
      <c r="M3" s="60"/>
      <c r="N3" s="60" t="s">
        <v>6</v>
      </c>
    </row>
    <row r="4" spans="1:14" ht="14.25">
      <c r="A4" s="61" t="s">
        <v>90</v>
      </c>
      <c r="B4" s="62"/>
      <c r="C4" s="62"/>
      <c r="D4" s="62"/>
      <c r="E4" s="63" t="s">
        <v>7</v>
      </c>
      <c r="F4" s="63" t="s">
        <v>1</v>
      </c>
      <c r="G4" s="64" t="s">
        <v>2</v>
      </c>
      <c r="H4" s="65" t="s">
        <v>3</v>
      </c>
      <c r="I4" s="64"/>
      <c r="J4" s="64"/>
      <c r="K4" s="64" t="s">
        <v>5</v>
      </c>
      <c r="L4" s="65" t="s">
        <v>4</v>
      </c>
      <c r="M4" s="63" t="s">
        <v>3</v>
      </c>
      <c r="N4" s="64" t="s">
        <v>7</v>
      </c>
    </row>
    <row r="5" spans="1:14" ht="14.25">
      <c r="A5" s="56"/>
      <c r="B5" s="148" t="s">
        <v>95</v>
      </c>
      <c r="C5" s="149"/>
      <c r="D5" s="66" t="s">
        <v>77</v>
      </c>
      <c r="E5" s="148" t="s">
        <v>97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6" t="s">
        <v>145</v>
      </c>
      <c r="B6" s="67">
        <v>82.65</v>
      </c>
      <c r="C6" s="67">
        <v>81.732</v>
      </c>
      <c r="D6" s="67">
        <f>+F6/C6</f>
        <v>48.03918905691773</v>
      </c>
      <c r="E6" s="68">
        <v>190.61</v>
      </c>
      <c r="F6" s="69">
        <v>3926.339</v>
      </c>
      <c r="G6" s="70">
        <v>23.5406396308524</v>
      </c>
      <c r="H6" s="70">
        <f>SUM(E6:G6)</f>
        <v>4140.489639630852</v>
      </c>
      <c r="I6" s="71"/>
      <c r="J6" s="69">
        <v>1886.2368000000001</v>
      </c>
      <c r="K6" s="69">
        <f>M6-J6-L6</f>
        <v>115.2675503874541</v>
      </c>
      <c r="L6" s="70">
        <v>1942.2562892433982</v>
      </c>
      <c r="M6" s="70">
        <f>+H6-N6</f>
        <v>3943.7606396308524</v>
      </c>
      <c r="N6" s="70">
        <v>196.729</v>
      </c>
    </row>
    <row r="7" spans="1:14" ht="16.5">
      <c r="A7" s="56" t="s">
        <v>146</v>
      </c>
      <c r="B7" s="67">
        <v>83.433</v>
      </c>
      <c r="C7" s="67">
        <v>82.696</v>
      </c>
      <c r="D7" s="67">
        <f>+F7/C7</f>
        <v>51.9503482635194</v>
      </c>
      <c r="E7" s="68">
        <f>N6</f>
        <v>196.729</v>
      </c>
      <c r="F7" s="69">
        <f>F19</f>
        <v>4296.086</v>
      </c>
      <c r="G7" s="70">
        <f>G32</f>
        <v>22.241776548522303</v>
      </c>
      <c r="H7" s="70">
        <f>SUM(E7:G7)</f>
        <v>4515.056776548523</v>
      </c>
      <c r="I7" s="56"/>
      <c r="J7" s="69">
        <f>J32</f>
        <v>1901.1980666666668</v>
      </c>
      <c r="K7" s="69">
        <f>M7-J7-L7</f>
        <v>138.6111681445891</v>
      </c>
      <c r="L7" s="70">
        <f>L32</f>
        <v>2173.652541737267</v>
      </c>
      <c r="M7" s="70">
        <f>+H7-N7</f>
        <v>4213.461776548523</v>
      </c>
      <c r="N7" s="70">
        <f>N31</f>
        <v>301.595</v>
      </c>
    </row>
    <row r="8" spans="1:14" ht="16.5">
      <c r="A8" s="56" t="s">
        <v>147</v>
      </c>
      <c r="B8" s="67">
        <v>90.142</v>
      </c>
      <c r="C8" s="67">
        <v>89.522</v>
      </c>
      <c r="D8" s="67">
        <f>+F8/C8</f>
        <v>49.0555729317933</v>
      </c>
      <c r="E8" s="68">
        <f>N7</f>
        <v>301.595</v>
      </c>
      <c r="F8" s="69">
        <f>F38</f>
        <v>4391.553</v>
      </c>
      <c r="G8" s="70">
        <v>25.45</v>
      </c>
      <c r="H8" s="70">
        <f>SUM(E8:G8)</f>
        <v>4718.598</v>
      </c>
      <c r="I8" s="56"/>
      <c r="J8" s="69">
        <v>1960</v>
      </c>
      <c r="K8" s="69">
        <f>M8-J8-L8</f>
        <v>138.59799999999996</v>
      </c>
      <c r="L8" s="70">
        <v>2065</v>
      </c>
      <c r="M8" s="70">
        <f>+H8-N8</f>
        <v>4163.598</v>
      </c>
      <c r="N8" s="70">
        <v>555</v>
      </c>
    </row>
    <row r="9" spans="1:14" ht="14.25">
      <c r="A9" s="59"/>
      <c r="B9" s="59"/>
      <c r="C9" s="59"/>
      <c r="D9" s="59"/>
      <c r="E9" s="72"/>
      <c r="F9" s="72"/>
      <c r="G9" s="73"/>
      <c r="H9" s="72"/>
      <c r="I9" s="72"/>
      <c r="J9" s="73"/>
      <c r="K9" s="73"/>
      <c r="L9" s="73"/>
      <c r="M9" s="73"/>
      <c r="N9" s="74"/>
    </row>
    <row r="10" spans="1:14" ht="14.25">
      <c r="A10" s="55" t="s">
        <v>76</v>
      </c>
      <c r="B10" s="55"/>
      <c r="C10" s="55"/>
      <c r="D10" s="55"/>
      <c r="E10" s="72"/>
      <c r="F10" s="72"/>
      <c r="G10" s="73"/>
      <c r="H10" s="72"/>
      <c r="I10" s="55"/>
      <c r="J10" s="73"/>
      <c r="K10" s="73"/>
      <c r="L10" s="73"/>
      <c r="M10" s="73"/>
      <c r="N10" s="63"/>
    </row>
    <row r="11" spans="1:14" ht="14.25">
      <c r="A11" s="59"/>
      <c r="B11" s="59"/>
      <c r="C11" s="59"/>
      <c r="D11" s="59"/>
      <c r="E11" s="150" t="s">
        <v>94</v>
      </c>
      <c r="F11" s="150"/>
      <c r="G11" s="150"/>
      <c r="H11" s="150"/>
      <c r="I11" s="59"/>
      <c r="J11" s="150" t="s">
        <v>72</v>
      </c>
      <c r="K11" s="150"/>
      <c r="L11" s="150"/>
      <c r="M11" s="150"/>
      <c r="N11" s="56"/>
    </row>
    <row r="12" spans="1:14" ht="14.25">
      <c r="A12" s="59"/>
      <c r="B12" s="59"/>
      <c r="C12" s="59"/>
      <c r="D12" s="59"/>
      <c r="E12" s="60" t="s">
        <v>8</v>
      </c>
      <c r="F12" s="60"/>
      <c r="G12" s="60"/>
      <c r="H12" s="60"/>
      <c r="I12" s="60"/>
      <c r="J12" s="58" t="s">
        <v>74</v>
      </c>
      <c r="K12" s="58" t="s">
        <v>125</v>
      </c>
      <c r="L12" s="60"/>
      <c r="M12" s="60"/>
      <c r="N12" s="60" t="s">
        <v>6</v>
      </c>
    </row>
    <row r="13" spans="1:14" ht="14.25">
      <c r="A13" s="59"/>
      <c r="B13" s="59"/>
      <c r="C13" s="59"/>
      <c r="D13" s="59"/>
      <c r="E13" s="63" t="s">
        <v>7</v>
      </c>
      <c r="F13" s="63" t="s">
        <v>1</v>
      </c>
      <c r="G13" s="64" t="s">
        <v>2</v>
      </c>
      <c r="H13" s="65" t="s">
        <v>3</v>
      </c>
      <c r="I13" s="64"/>
      <c r="J13" s="63"/>
      <c r="K13" s="63" t="s">
        <v>51</v>
      </c>
      <c r="L13" s="65" t="s">
        <v>4</v>
      </c>
      <c r="M13" s="63" t="s">
        <v>3</v>
      </c>
      <c r="N13" s="64" t="s">
        <v>7</v>
      </c>
    </row>
    <row r="14" spans="1:14" ht="18.75" customHeight="1">
      <c r="A14" s="56"/>
      <c r="B14" s="59"/>
      <c r="C14" s="59"/>
      <c r="D14" s="59"/>
      <c r="E14" s="75" t="s">
        <v>108</v>
      </c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8.75" customHeight="1">
      <c r="A15" s="56" t="s">
        <v>123</v>
      </c>
      <c r="B15" s="59"/>
      <c r="C15" s="59"/>
      <c r="D15" s="59"/>
      <c r="E15" s="74"/>
      <c r="F15" s="76"/>
      <c r="G15" s="77"/>
      <c r="H15" s="78"/>
      <c r="I15" s="78"/>
      <c r="J15" s="78"/>
      <c r="K15" s="79"/>
      <c r="L15" s="77"/>
      <c r="M15" s="76"/>
      <c r="N15" s="80"/>
    </row>
    <row r="16" spans="1:14" ht="18.75" customHeight="1">
      <c r="A16" s="59" t="s">
        <v>107</v>
      </c>
      <c r="B16" s="59"/>
      <c r="C16" s="59"/>
      <c r="D16" s="59"/>
      <c r="E16" s="74"/>
      <c r="F16" s="76"/>
      <c r="G16" s="77">
        <f>(12.140982+44.365888+5.969151)*2.204622/60</f>
        <v>2.2956001728177</v>
      </c>
      <c r="H16" s="78"/>
      <c r="I16" s="78"/>
      <c r="J16" s="78">
        <f>4.148008*2000/60</f>
        <v>138.26693333333333</v>
      </c>
      <c r="K16" s="79"/>
      <c r="L16" s="77">
        <f>(34.073378+3681.848)*2.204622/60</f>
        <v>136.53670033681863</v>
      </c>
      <c r="M16" s="76"/>
      <c r="N16" s="80"/>
    </row>
    <row r="17" spans="1:14" ht="18.75" customHeight="1">
      <c r="A17" s="59" t="s">
        <v>114</v>
      </c>
      <c r="B17" s="59"/>
      <c r="C17" s="59"/>
      <c r="D17" s="59"/>
      <c r="E17" s="74"/>
      <c r="F17" s="76"/>
      <c r="G17" s="77">
        <f>(13.811565+29.41625+4.478324)*2.204622/60</f>
        <v>1.7529000595743</v>
      </c>
      <c r="H17" s="78"/>
      <c r="I17" s="78"/>
      <c r="J17" s="78">
        <f>5.276415*2000/60</f>
        <v>175.8805</v>
      </c>
      <c r="K17" s="79"/>
      <c r="L17" s="77">
        <f>(69.837116+11147.093)*2.204622/60</f>
        <v>412.1515151032693</v>
      </c>
      <c r="M17" s="76"/>
      <c r="N17" s="80"/>
    </row>
    <row r="18" spans="1:14" ht="18.75" customHeight="1">
      <c r="A18" s="59" t="s">
        <v>116</v>
      </c>
      <c r="B18" s="59"/>
      <c r="C18" s="59"/>
      <c r="D18" s="59"/>
      <c r="E18" s="74"/>
      <c r="F18" s="76"/>
      <c r="G18" s="77">
        <f>(6.25616+26.146455+5.06881)*2.204622/60</f>
        <v>1.3768387987725</v>
      </c>
      <c r="H18" s="78"/>
      <c r="I18" s="78"/>
      <c r="J18" s="78">
        <f>5.122038*2000/60</f>
        <v>170.73459999999997</v>
      </c>
      <c r="K18" s="79"/>
      <c r="L18" s="77">
        <f>(56.047981+10209.532)*2.204622/60</f>
        <v>377.19539114786966</v>
      </c>
      <c r="M18" s="76"/>
      <c r="N18" s="80"/>
    </row>
    <row r="19" spans="1:14" ht="18.75" customHeight="1">
      <c r="A19" s="56" t="s">
        <v>82</v>
      </c>
      <c r="B19" s="59"/>
      <c r="C19" s="59"/>
      <c r="D19" s="59"/>
      <c r="E19" s="74">
        <v>196.729</v>
      </c>
      <c r="F19" s="81">
        <v>4296.086</v>
      </c>
      <c r="G19" s="77">
        <f>G16+G17+G18</f>
        <v>5.4253390311645</v>
      </c>
      <c r="H19" s="78">
        <f>SUM(E19:G19)</f>
        <v>4498.240339031165</v>
      </c>
      <c r="I19" s="78"/>
      <c r="J19" s="78">
        <f>J16+J17+J18</f>
        <v>484.8820333333333</v>
      </c>
      <c r="K19" s="82">
        <f>M19-L19-J19</f>
        <v>188.41869910987384</v>
      </c>
      <c r="L19" s="77">
        <f>L16+L17+L18</f>
        <v>925.8836065879575</v>
      </c>
      <c r="M19" s="77">
        <f>H19-N19</f>
        <v>1599.1843390311647</v>
      </c>
      <c r="N19" s="78">
        <v>2899.056</v>
      </c>
    </row>
    <row r="20" spans="1:14" ht="18.75" customHeight="1">
      <c r="A20" s="56" t="s">
        <v>117</v>
      </c>
      <c r="B20" s="59"/>
      <c r="C20" s="59"/>
      <c r="D20" s="59"/>
      <c r="E20" s="74"/>
      <c r="F20" s="76"/>
      <c r="G20" s="77">
        <f>(4.172442+23.85058+3.852958)*2.204622/60</f>
        <v>1.1712414463260001</v>
      </c>
      <c r="H20" s="78"/>
      <c r="I20" s="78"/>
      <c r="J20" s="78">
        <f>5.071493*2000/60</f>
        <v>169.04976666666667</v>
      </c>
      <c r="K20" s="77"/>
      <c r="L20" s="77">
        <f>(40.570246+7941.343)*2.204622/60</f>
        <v>293.2850257370502</v>
      </c>
      <c r="M20" s="76"/>
      <c r="N20" s="80"/>
    </row>
    <row r="21" spans="1:14" ht="18.75" customHeight="1">
      <c r="A21" s="56" t="s">
        <v>118</v>
      </c>
      <c r="B21" s="59"/>
      <c r="C21" s="59"/>
      <c r="D21" s="59"/>
      <c r="E21" s="74"/>
      <c r="F21" s="76"/>
      <c r="G21" s="77">
        <f>(9.076343+55.123913+23.018611)*2.204622/60</f>
        <v>3.2047438833879</v>
      </c>
      <c r="H21" s="78"/>
      <c r="I21" s="78"/>
      <c r="J21" s="78">
        <f>5.139706*2000/60</f>
        <v>171.32353333333333</v>
      </c>
      <c r="K21" s="77"/>
      <c r="L21" s="77">
        <f>(56.504787+7366.494)*2.204622/60</f>
        <v>272.74844052989187</v>
      </c>
      <c r="M21" s="76"/>
      <c r="N21" s="80"/>
    </row>
    <row r="22" spans="1:14" ht="18.75" customHeight="1">
      <c r="A22" s="56" t="s">
        <v>119</v>
      </c>
      <c r="B22" s="59"/>
      <c r="C22" s="59"/>
      <c r="D22" s="59"/>
      <c r="E22" s="74"/>
      <c r="F22" s="76"/>
      <c r="G22" s="77">
        <f>(12.779452+42.072277+6.673116)*2.204622/60</f>
        <v>2.2606504472265003</v>
      </c>
      <c r="H22" s="78"/>
      <c r="I22" s="78"/>
      <c r="J22" s="78">
        <f>4.542336*2000/60</f>
        <v>151.41119999999998</v>
      </c>
      <c r="K22" s="77"/>
      <c r="L22" s="77">
        <f>(49.270676+4366.775)*2.204622/60</f>
        <v>162.26185750524118</v>
      </c>
      <c r="M22" s="76"/>
      <c r="N22" s="80"/>
    </row>
    <row r="23" spans="1:14" ht="18.75" customHeight="1">
      <c r="A23" s="56" t="s">
        <v>83</v>
      </c>
      <c r="B23" s="59"/>
      <c r="C23" s="59"/>
      <c r="D23" s="59"/>
      <c r="E23" s="74">
        <f>N19</f>
        <v>2899.056</v>
      </c>
      <c r="F23" s="81"/>
      <c r="G23" s="77">
        <f>SUM(G20:G22)</f>
        <v>6.6366357769404</v>
      </c>
      <c r="H23" s="78">
        <f>E23+F23+G23</f>
        <v>2905.6926357769403</v>
      </c>
      <c r="I23" s="78"/>
      <c r="J23" s="78">
        <f>SUM(J20:J22)</f>
        <v>491.7845</v>
      </c>
      <c r="K23" s="82">
        <f>M23-L23-J23</f>
        <v>-53.32018799524292</v>
      </c>
      <c r="L23" s="77">
        <f>SUM(L20:L22)</f>
        <v>728.2953237721832</v>
      </c>
      <c r="M23" s="77">
        <f>H23-N23</f>
        <v>1166.7596357769403</v>
      </c>
      <c r="N23" s="78">
        <v>1738.933</v>
      </c>
    </row>
    <row r="24" spans="1:14" ht="18.75" customHeight="1">
      <c r="A24" s="56" t="s">
        <v>120</v>
      </c>
      <c r="B24" s="59"/>
      <c r="C24" s="59"/>
      <c r="D24" s="59"/>
      <c r="E24" s="74"/>
      <c r="F24" s="81"/>
      <c r="G24" s="77">
        <f>(12.811388+30.642647+17.025345)*2.204622/60</f>
        <v>2.2222361949060003</v>
      </c>
      <c r="H24" s="78"/>
      <c r="I24" s="78"/>
      <c r="J24" s="78">
        <f>4.822961*2000/60</f>
        <v>160.76536666666667</v>
      </c>
      <c r="K24" s="82"/>
      <c r="L24" s="77">
        <f>(69.313126+3051.288)*2.204622/60</f>
        <v>114.6624315934062</v>
      </c>
      <c r="M24" s="77"/>
      <c r="N24" s="78"/>
    </row>
    <row r="25" spans="1:14" ht="18.75" customHeight="1">
      <c r="A25" s="56" t="s">
        <v>121</v>
      </c>
      <c r="B25" s="59"/>
      <c r="C25" s="59"/>
      <c r="D25" s="59"/>
      <c r="E25" s="74"/>
      <c r="F25" s="81"/>
      <c r="G25" s="77">
        <f>(8.582125+28.967068+6.119378)*2.204622/60</f>
        <v>1.6045448722527</v>
      </c>
      <c r="H25" s="78"/>
      <c r="I25" s="78"/>
      <c r="J25" s="78">
        <f>4.509463*2000/60</f>
        <v>150.31543333333335</v>
      </c>
      <c r="K25" s="82"/>
      <c r="L25" s="77">
        <f>(62.294194+2370.22)*2.204622/60</f>
        <v>89.37957179007779</v>
      </c>
      <c r="M25" s="77"/>
      <c r="N25" s="78"/>
    </row>
    <row r="26" spans="1:14" ht="18.75" customHeight="1">
      <c r="A26" s="56" t="s">
        <v>122</v>
      </c>
      <c r="B26" s="59"/>
      <c r="C26" s="59"/>
      <c r="D26" s="59"/>
      <c r="E26" s="74"/>
      <c r="F26" s="81"/>
      <c r="G26" s="77">
        <f>(8.8507+42.500566+6.529572)*2.204622/60</f>
        <v>2.1267561472206</v>
      </c>
      <c r="H26" s="78"/>
      <c r="I26" s="78"/>
      <c r="J26" s="78">
        <f>4.739387*2000/60</f>
        <v>157.97956666666667</v>
      </c>
      <c r="K26" s="82"/>
      <c r="L26" s="77">
        <f>(48.508116+1401.462)*2.204622/60</f>
        <v>53.277266951269205</v>
      </c>
      <c r="M26" s="77"/>
      <c r="N26" s="78"/>
    </row>
    <row r="27" spans="1:14" ht="18.75" customHeight="1">
      <c r="A27" s="56" t="s">
        <v>84</v>
      </c>
      <c r="B27" s="59"/>
      <c r="C27" s="59"/>
      <c r="D27" s="59"/>
      <c r="E27" s="74">
        <f>N23</f>
        <v>1738.933</v>
      </c>
      <c r="F27" s="81"/>
      <c r="G27" s="77">
        <f>SUM(G24:G26)</f>
        <v>5.953537214379301</v>
      </c>
      <c r="H27" s="78">
        <f>E27+F27+G27</f>
        <v>1744.8865372143794</v>
      </c>
      <c r="I27" s="78"/>
      <c r="J27" s="78">
        <f>SUM(J24:J26)</f>
        <v>469.0603666666667</v>
      </c>
      <c r="K27" s="82">
        <f>M27-L27-J27</f>
        <v>52.65090021295953</v>
      </c>
      <c r="L27" s="77">
        <f>SUM(L24:L26)</f>
        <v>257.3192703347532</v>
      </c>
      <c r="M27" s="77">
        <f>H27-N27</f>
        <v>779.0305372143794</v>
      </c>
      <c r="N27" s="78">
        <v>965.856</v>
      </c>
    </row>
    <row r="28" spans="1:14" ht="18.75" customHeight="1">
      <c r="A28" s="56" t="s">
        <v>68</v>
      </c>
      <c r="B28" s="59"/>
      <c r="C28" s="59"/>
      <c r="D28" s="59"/>
      <c r="E28" s="74"/>
      <c r="F28" s="81"/>
      <c r="G28" s="77">
        <f>(4.98816+15.473421+8.217032)*2.204622/60</f>
        <v>1.0537583524881</v>
      </c>
      <c r="H28" s="78"/>
      <c r="I28" s="78"/>
      <c r="J28" s="78">
        <f>4.446863*2000/60</f>
        <v>148.22876666666664</v>
      </c>
      <c r="K28" s="82"/>
      <c r="L28" s="77">
        <f>(45.783266+1749.668)*2.204622/60</f>
        <v>65.9715226825242</v>
      </c>
      <c r="M28" s="77"/>
      <c r="N28" s="78"/>
    </row>
    <row r="29" spans="1:14" ht="18.75" customHeight="1">
      <c r="A29" s="56" t="s">
        <v>106</v>
      </c>
      <c r="B29" s="59"/>
      <c r="C29" s="59"/>
      <c r="D29" s="59"/>
      <c r="E29" s="74"/>
      <c r="F29" s="81"/>
      <c r="G29" s="77">
        <f>(3.509596+37.139519+6.116628)*2.204622/60</f>
        <v>1.7183464310691001</v>
      </c>
      <c r="H29" s="78"/>
      <c r="I29" s="78"/>
      <c r="J29" s="78">
        <f>4.66868*2000/60</f>
        <v>155.62266666666667</v>
      </c>
      <c r="K29" s="82"/>
      <c r="L29" s="77">
        <f>(28.793709+2234.169)*2.204622/60</f>
        <v>83.1496228906833</v>
      </c>
      <c r="M29" s="77"/>
      <c r="N29" s="78"/>
    </row>
    <row r="30" spans="1:14" ht="18.75" customHeight="1">
      <c r="A30" s="56" t="s">
        <v>71</v>
      </c>
      <c r="B30" s="59"/>
      <c r="C30" s="59"/>
      <c r="D30" s="59"/>
      <c r="E30" s="74"/>
      <c r="F30" s="81"/>
      <c r="G30" s="77">
        <f>(3.239739+29.130588+7.20543)*2.204622/60</f>
        <v>1.4541597424809</v>
      </c>
      <c r="H30" s="78"/>
      <c r="I30" s="78"/>
      <c r="J30" s="78">
        <f>4.548592*2000/60</f>
        <v>151.61973333333336</v>
      </c>
      <c r="K30" s="82"/>
      <c r="L30" s="77">
        <f>(42.412569+3033.848)*2.204622/60</f>
        <v>113.0331954691653</v>
      </c>
      <c r="M30" s="77"/>
      <c r="N30" s="78"/>
    </row>
    <row r="31" spans="1:14" ht="18.75" customHeight="1">
      <c r="A31" s="83" t="s">
        <v>85</v>
      </c>
      <c r="B31" s="59"/>
      <c r="C31" s="59"/>
      <c r="D31" s="59"/>
      <c r="E31" s="74">
        <f>N27</f>
        <v>965.856</v>
      </c>
      <c r="F31" s="81"/>
      <c r="G31" s="77">
        <f>SUM(G28:G30)</f>
        <v>4.226264526038101</v>
      </c>
      <c r="H31" s="78">
        <f>SUM(E31:G31)</f>
        <v>970.0822645260381</v>
      </c>
      <c r="I31" s="78"/>
      <c r="J31" s="78">
        <f>SUM(J28:J30)</f>
        <v>455.4711666666667</v>
      </c>
      <c r="K31" s="82">
        <f>M31-L31-J31</f>
        <v>-49.138243183001464</v>
      </c>
      <c r="L31" s="77">
        <f>SUM(L28:L30)</f>
        <v>262.15434104237283</v>
      </c>
      <c r="M31" s="77">
        <f>+H31-N31</f>
        <v>668.4872645260381</v>
      </c>
      <c r="N31" s="78">
        <v>301.595</v>
      </c>
    </row>
    <row r="32" spans="1:14" ht="18.75" customHeight="1">
      <c r="A32" s="56" t="s">
        <v>3</v>
      </c>
      <c r="B32" s="59"/>
      <c r="C32" s="59"/>
      <c r="D32" s="59"/>
      <c r="E32" s="74"/>
      <c r="F32" s="81">
        <f>F19+F23+F27+F31</f>
        <v>4296.086</v>
      </c>
      <c r="G32" s="77">
        <f>G19+G23+G27+G31</f>
        <v>22.241776548522303</v>
      </c>
      <c r="H32" s="78">
        <f>E19+F32+G32</f>
        <v>4515.056776548523</v>
      </c>
      <c r="I32" s="78"/>
      <c r="J32" s="78">
        <f>J19+J23+J27+J31</f>
        <v>1901.1980666666668</v>
      </c>
      <c r="K32" s="82">
        <f>K19+K23+K27+K31</f>
        <v>138.611168144589</v>
      </c>
      <c r="L32" s="77">
        <f>L19+L23+L27+L31</f>
        <v>2173.652541737267</v>
      </c>
      <c r="M32" s="77">
        <f>M19+M23+M27+M31</f>
        <v>4213.461776548523</v>
      </c>
      <c r="N32" s="78"/>
    </row>
    <row r="33" spans="1:14" ht="18.75" customHeight="1">
      <c r="A33" s="59"/>
      <c r="B33" s="59"/>
      <c r="C33" s="59"/>
      <c r="D33" s="59"/>
      <c r="E33" s="74"/>
      <c r="F33" s="76"/>
      <c r="G33" s="77"/>
      <c r="H33" s="78"/>
      <c r="I33" s="78"/>
      <c r="J33" s="78"/>
      <c r="K33" s="79"/>
      <c r="L33" s="77"/>
      <c r="M33" s="77"/>
      <c r="N33" s="80"/>
    </row>
    <row r="34" spans="1:14" ht="18.75" customHeight="1">
      <c r="A34" s="56" t="s">
        <v>127</v>
      </c>
      <c r="B34" s="59"/>
      <c r="C34" s="59"/>
      <c r="D34" s="59"/>
      <c r="E34" s="74"/>
      <c r="F34" s="76"/>
      <c r="G34" s="77"/>
      <c r="H34" s="78"/>
      <c r="I34" s="78"/>
      <c r="J34" s="78"/>
      <c r="K34" s="79"/>
      <c r="L34" s="77"/>
      <c r="M34" s="77"/>
      <c r="N34" s="80"/>
    </row>
    <row r="35" spans="1:14" ht="18.75" customHeight="1">
      <c r="A35" s="56" t="s">
        <v>107</v>
      </c>
      <c r="B35" s="59"/>
      <c r="C35" s="59"/>
      <c r="D35" s="59"/>
      <c r="E35" s="74"/>
      <c r="F35" s="81"/>
      <c r="G35" s="77">
        <f>(1.392923+28.520061+6.869446)*2.204622/60</f>
        <v>1.351522573191</v>
      </c>
      <c r="H35" s="78"/>
      <c r="I35" s="78"/>
      <c r="J35" s="78">
        <f>4.361207*2000/60</f>
        <v>145.37356666666668</v>
      </c>
      <c r="K35" s="82"/>
      <c r="L35" s="77">
        <f>(42.118554+4598.493)*2.204622/60</f>
        <v>170.5132387567098</v>
      </c>
      <c r="M35" s="77"/>
      <c r="N35" s="78"/>
    </row>
    <row r="36" spans="1:14" ht="18.75" customHeight="1">
      <c r="A36" s="59" t="s">
        <v>114</v>
      </c>
      <c r="B36" s="59"/>
      <c r="C36" s="59"/>
      <c r="D36" s="59"/>
      <c r="E36" s="74"/>
      <c r="F36" s="76"/>
      <c r="G36" s="77">
        <f>(4.740975+65.900563+6.636992)*2.204622/60</f>
        <v>2.8394991227610005</v>
      </c>
      <c r="H36" s="78"/>
      <c r="I36" s="78"/>
      <c r="J36" s="78">
        <f>5.277397*2000/60</f>
        <v>175.91323333333332</v>
      </c>
      <c r="K36" s="79"/>
      <c r="L36" s="77">
        <f>(65.402074+9375.87)*2.204622/60</f>
        <v>346.90726870543386</v>
      </c>
      <c r="M36" s="76"/>
      <c r="N36" s="80"/>
    </row>
    <row r="37" spans="1:14" ht="18.75" customHeight="1">
      <c r="A37" s="59" t="s">
        <v>116</v>
      </c>
      <c r="B37" s="59"/>
      <c r="C37" s="59"/>
      <c r="D37" s="59"/>
      <c r="E37" s="74"/>
      <c r="F37" s="76"/>
      <c r="G37" s="77">
        <f>(14.834995+18.209194+5.812884)*2.204622/60</f>
        <v>1.4277526331901</v>
      </c>
      <c r="H37" s="78"/>
      <c r="I37" s="78"/>
      <c r="J37" s="78">
        <f>5.200462*2000/60</f>
        <v>173.3487333333333</v>
      </c>
      <c r="K37" s="79"/>
      <c r="L37" s="77">
        <f>(75.780013+8956.623)*2.204622/60</f>
        <v>331.88390658876807</v>
      </c>
      <c r="M37" s="76"/>
      <c r="N37" s="80"/>
    </row>
    <row r="38" spans="1:14" ht="18.75" customHeight="1">
      <c r="A38" s="59" t="s">
        <v>82</v>
      </c>
      <c r="B38" s="59"/>
      <c r="C38" s="59"/>
      <c r="D38" s="59"/>
      <c r="E38" s="74">
        <f>N31</f>
        <v>301.595</v>
      </c>
      <c r="F38" s="76">
        <f>4391.553</f>
        <v>4391.553</v>
      </c>
      <c r="G38" s="77">
        <f>G35+G36+G37</f>
        <v>5.618774329142101</v>
      </c>
      <c r="H38" s="78">
        <f>SUM(E38:G38)</f>
        <v>4698.766774329142</v>
      </c>
      <c r="I38" s="78"/>
      <c r="J38" s="78">
        <f>J35+J36+J37</f>
        <v>494.6355333333333</v>
      </c>
      <c r="K38" s="79">
        <f>M38-L38-J38</f>
        <v>197.8068269448973</v>
      </c>
      <c r="L38" s="77">
        <f>L35+L36+L37</f>
        <v>849.3044140509116</v>
      </c>
      <c r="M38" s="77">
        <f>H38-N38</f>
        <v>1541.7467743291422</v>
      </c>
      <c r="N38" s="78">
        <v>3157.02</v>
      </c>
    </row>
    <row r="39" spans="1:14" ht="18.75" customHeight="1">
      <c r="A39" s="56" t="s">
        <v>117</v>
      </c>
      <c r="B39" s="59"/>
      <c r="C39" s="59"/>
      <c r="D39" s="59"/>
      <c r="E39" s="74"/>
      <c r="F39" s="76"/>
      <c r="G39" s="77">
        <f>(2.700212+43.931585+16.796727)*2.204622/60</f>
        <v>2.3305986572988</v>
      </c>
      <c r="H39" s="78"/>
      <c r="I39" s="78"/>
      <c r="J39" s="78">
        <f>5.290215*2000/60</f>
        <v>176.3405</v>
      </c>
      <c r="K39" s="79"/>
      <c r="L39" s="77">
        <f>(67.748059+6384.044)*2.204622/60</f>
        <v>237.0627118782783</v>
      </c>
      <c r="M39" s="77"/>
      <c r="N39" s="80"/>
    </row>
    <row r="40" spans="1:14" ht="18.75" customHeight="1">
      <c r="A40" s="56" t="s">
        <v>118</v>
      </c>
      <c r="B40" s="59"/>
      <c r="C40" s="59"/>
      <c r="D40" s="59"/>
      <c r="E40" s="74"/>
      <c r="F40" s="76"/>
      <c r="G40" s="77">
        <f>(1.972522+31.466905+6.367872)*2.204622/60</f>
        <v>1.4626674522663</v>
      </c>
      <c r="H40" s="78"/>
      <c r="I40" s="78"/>
      <c r="J40" s="78">
        <f>5.235504*2000/60</f>
        <v>174.5168</v>
      </c>
      <c r="K40" s="77"/>
      <c r="L40" s="77">
        <f>(51.851798+5711.005)*2.204622/60</f>
        <v>211.7486813286726</v>
      </c>
      <c r="M40" s="76"/>
      <c r="N40" s="80"/>
    </row>
    <row r="41" spans="1:14" ht="14.25">
      <c r="A41" s="55" t="s">
        <v>126</v>
      </c>
      <c r="B41" s="55"/>
      <c r="C41" s="55"/>
      <c r="D41" s="55"/>
      <c r="E41" s="84"/>
      <c r="F41" s="85">
        <f>F38</f>
        <v>4391.553</v>
      </c>
      <c r="G41" s="86">
        <f>G38+G39+G40</f>
        <v>9.412040438707201</v>
      </c>
      <c r="H41" s="87">
        <f>E38+F41+G41</f>
        <v>4702.560040438707</v>
      </c>
      <c r="I41" s="87"/>
      <c r="J41" s="87">
        <f>J38+J39+J40</f>
        <v>845.4928333333332</v>
      </c>
      <c r="K41" s="88">
        <f>K38</f>
        <v>197.8068269448973</v>
      </c>
      <c r="L41" s="86">
        <f>L38+L39+L40</f>
        <v>1298.1158072578626</v>
      </c>
      <c r="M41" s="86">
        <f>M38+M39</f>
        <v>1541.7467743291422</v>
      </c>
      <c r="N41" s="89"/>
    </row>
    <row r="42" spans="1:14" ht="16.5">
      <c r="A42" s="90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91"/>
      <c r="M42" s="59"/>
      <c r="N42" s="59"/>
    </row>
    <row r="43" spans="1:14" ht="14.25">
      <c r="A43" s="56" t="s">
        <v>149</v>
      </c>
      <c r="B43" s="56"/>
      <c r="C43" s="56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73" ht="14.25">
      <c r="A44" s="93" t="s">
        <v>80</v>
      </c>
      <c r="B44" s="56"/>
      <c r="C44" s="56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56" t="s">
        <v>26</v>
      </c>
      <c r="B45" s="94">
        <f ca="1">NOW()</f>
        <v>43171.39808888889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6"/>
    </row>
    <row r="3" spans="1:10" ht="14.25">
      <c r="A3" s="56" t="s">
        <v>86</v>
      </c>
      <c r="B3" s="58" t="s">
        <v>8</v>
      </c>
      <c r="C3" s="60"/>
      <c r="D3" s="60"/>
      <c r="E3" s="60"/>
      <c r="F3" s="60"/>
      <c r="G3" s="60"/>
      <c r="H3" s="60"/>
      <c r="I3" s="60"/>
      <c r="J3" s="58" t="s">
        <v>34</v>
      </c>
    </row>
    <row r="4" spans="1:10" ht="14.25">
      <c r="A4" s="61" t="s">
        <v>87</v>
      </c>
      <c r="B4" s="63" t="s">
        <v>33</v>
      </c>
      <c r="C4" s="63" t="s">
        <v>1</v>
      </c>
      <c r="D4" s="63" t="s">
        <v>2</v>
      </c>
      <c r="E4" s="65" t="s">
        <v>32</v>
      </c>
      <c r="F4" s="64"/>
      <c r="G4" s="63" t="s">
        <v>35</v>
      </c>
      <c r="H4" s="63" t="s">
        <v>31</v>
      </c>
      <c r="I4" s="63" t="s">
        <v>32</v>
      </c>
      <c r="J4" s="63" t="s">
        <v>99</v>
      </c>
    </row>
    <row r="5" spans="1:10" ht="14.25">
      <c r="A5" s="56"/>
      <c r="B5" s="149" t="s">
        <v>109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6" t="s">
        <v>145</v>
      </c>
      <c r="B6" s="95">
        <v>260.464</v>
      </c>
      <c r="C6" s="96">
        <v>44671.66199999999</v>
      </c>
      <c r="D6" s="96">
        <v>403.4227568353921</v>
      </c>
      <c r="E6" s="96">
        <f>+B6+C6+D6</f>
        <v>45335.54875683538</v>
      </c>
      <c r="F6" s="96"/>
      <c r="G6" s="96">
        <f>+I6-H6</f>
        <v>33117.8131085507</v>
      </c>
      <c r="H6" s="96">
        <v>11953.849648284682</v>
      </c>
      <c r="I6" s="96">
        <f>+E6-J6</f>
        <v>45071.66275683538</v>
      </c>
      <c r="J6" s="96">
        <v>263.886</v>
      </c>
    </row>
    <row r="7" spans="1:10" ht="16.5">
      <c r="A7" s="56" t="s">
        <v>146</v>
      </c>
      <c r="B7" s="95">
        <f>J6</f>
        <v>263.886</v>
      </c>
      <c r="C7" s="96">
        <f>C23</f>
        <v>44787.017</v>
      </c>
      <c r="D7" s="96">
        <f>D23</f>
        <v>349.4954010900241</v>
      </c>
      <c r="E7" s="96">
        <f>+B7+C7+D7</f>
        <v>45400.398401090024</v>
      </c>
      <c r="F7" s="96"/>
      <c r="G7" s="96">
        <f>+I7-H7</f>
        <v>33398.85552584723</v>
      </c>
      <c r="H7" s="96">
        <f>H23</f>
        <v>11600.912875242791</v>
      </c>
      <c r="I7" s="96">
        <f>+E7-J7</f>
        <v>44999.76840109003</v>
      </c>
      <c r="J7" s="96">
        <f>J22</f>
        <v>400.63</v>
      </c>
    </row>
    <row r="8" spans="1:10" ht="16.5">
      <c r="A8" s="56" t="s">
        <v>147</v>
      </c>
      <c r="B8" s="95">
        <f>J7</f>
        <v>400.63</v>
      </c>
      <c r="C8" s="96">
        <v>46299</v>
      </c>
      <c r="D8" s="96">
        <v>300</v>
      </c>
      <c r="E8" s="96">
        <f>+B8+C8+D8</f>
        <v>46999.63</v>
      </c>
      <c r="F8" s="96"/>
      <c r="G8" s="96">
        <f>+I8-H8</f>
        <v>34299.63</v>
      </c>
      <c r="H8" s="96">
        <v>12400</v>
      </c>
      <c r="I8" s="96">
        <f>+E8-J8</f>
        <v>46699.63</v>
      </c>
      <c r="J8" s="96">
        <v>300</v>
      </c>
    </row>
    <row r="9" spans="1:10" ht="14.25">
      <c r="A9" s="56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56" t="s">
        <v>123</v>
      </c>
      <c r="B10" s="97"/>
      <c r="C10" s="77"/>
      <c r="D10" s="77"/>
      <c r="E10" s="77"/>
      <c r="F10" s="98"/>
      <c r="G10" s="77"/>
      <c r="H10" s="77"/>
      <c r="I10" s="77"/>
      <c r="J10" s="98"/>
    </row>
    <row r="11" spans="1:12" ht="15.75">
      <c r="A11" s="59" t="s">
        <v>60</v>
      </c>
      <c r="B11" s="99">
        <f>233.715+30.171</f>
        <v>263.886</v>
      </c>
      <c r="C11" s="77">
        <f>3830.125+273.917</f>
        <v>4104.042</v>
      </c>
      <c r="D11" s="77">
        <f>(20102.004+3304+507.805)*2.204622/2000</f>
        <v>26.360454712599005</v>
      </c>
      <c r="E11" s="77">
        <f aca="true" t="shared" si="0" ref="E11:E22">SUM(B11:D11)</f>
        <v>4394.2884547126</v>
      </c>
      <c r="F11" s="98"/>
      <c r="G11" s="100">
        <f aca="true" t="shared" si="1" ref="G11:G22">I11-H11</f>
        <v>3084.1154310607744</v>
      </c>
      <c r="H11" s="77">
        <f>((693.141819+2.805+150.046756))*(2.204622/2)</f>
        <v>932.548023651825</v>
      </c>
      <c r="I11" s="98">
        <f aca="true" t="shared" si="2" ref="I11:I17">E11-J11</f>
        <v>4016.6634547125996</v>
      </c>
      <c r="J11" s="77">
        <f>335.413+42.212</f>
        <v>377.625</v>
      </c>
      <c r="K11" s="26"/>
      <c r="L11" s="26"/>
    </row>
    <row r="12" spans="1:12" ht="15.75">
      <c r="A12" s="59" t="s">
        <v>61</v>
      </c>
      <c r="B12" s="99">
        <f aca="true" t="shared" si="3" ref="B12:B17">J11</f>
        <v>377.625</v>
      </c>
      <c r="C12" s="77">
        <f>3739.093+273.414</f>
        <v>4012.5069999999996</v>
      </c>
      <c r="D12" s="77">
        <f>(21499.507+3901+120.943)*2.204622/2000</f>
        <v>28.132575070950004</v>
      </c>
      <c r="E12" s="77">
        <f t="shared" si="0"/>
        <v>4418.26457507095</v>
      </c>
      <c r="F12" s="98"/>
      <c r="G12" s="100">
        <f t="shared" si="1"/>
        <v>2997.7173049214557</v>
      </c>
      <c r="H12" s="77">
        <f>((667.273624+3.395+247.86913))*(2.204622/2)</f>
        <v>1012.5142701494941</v>
      </c>
      <c r="I12" s="98">
        <f t="shared" si="2"/>
        <v>4010.23157507095</v>
      </c>
      <c r="J12" s="77">
        <f>361.959+46.074</f>
        <v>408.033</v>
      </c>
      <c r="K12" s="26"/>
      <c r="L12" s="26"/>
    </row>
    <row r="13" spans="1:12" ht="15.75">
      <c r="A13" s="59" t="s">
        <v>62</v>
      </c>
      <c r="B13" s="99">
        <f t="shared" si="3"/>
        <v>408.033</v>
      </c>
      <c r="C13" s="77">
        <f>3690.668+273.479</f>
        <v>3964.147</v>
      </c>
      <c r="D13" s="77">
        <f>(19136.428+4259+130.318)*2.204622/2000</f>
        <v>25.932688599006</v>
      </c>
      <c r="E13" s="77">
        <f t="shared" si="0"/>
        <v>4398.112688599006</v>
      </c>
      <c r="F13" s="98"/>
      <c r="G13" s="100">
        <f t="shared" si="1"/>
        <v>3012.122189731065</v>
      </c>
      <c r="H13" s="77">
        <f>((650.497579+2.548+199.327752))*(2.204622/2)</f>
        <v>939.5804988679411</v>
      </c>
      <c r="I13" s="98">
        <f t="shared" si="2"/>
        <v>3951.7026885990063</v>
      </c>
      <c r="J13" s="77">
        <f>403.901+42.509</f>
        <v>446.41</v>
      </c>
      <c r="K13" s="26"/>
      <c r="L13" s="26"/>
    </row>
    <row r="14" spans="1:12" ht="15.75">
      <c r="A14" s="59" t="s">
        <v>63</v>
      </c>
      <c r="B14" s="99">
        <f t="shared" si="3"/>
        <v>446.41</v>
      </c>
      <c r="C14" s="77">
        <f>3763.462+261.739</f>
        <v>4025.201</v>
      </c>
      <c r="D14" s="77">
        <f>(28002.473+4355+726.884)*2.204622/2000</f>
        <v>36.469250649027</v>
      </c>
      <c r="E14" s="77">
        <f t="shared" si="0"/>
        <v>4508.080250649027</v>
      </c>
      <c r="F14" s="98"/>
      <c r="G14" s="100">
        <f t="shared" si="1"/>
        <v>2766.019568557855</v>
      </c>
      <c r="H14" s="77">
        <f>((955.04107+3.027+227.792982))*(2.204622/2)</f>
        <v>1307.187682091172</v>
      </c>
      <c r="I14" s="98">
        <f t="shared" si="2"/>
        <v>4073.207250649027</v>
      </c>
      <c r="J14" s="77">
        <f>394.425+40.448</f>
        <v>434.873</v>
      </c>
      <c r="K14" s="26"/>
      <c r="L14" s="26"/>
    </row>
    <row r="15" spans="1:12" ht="15.75">
      <c r="A15" s="59" t="s">
        <v>64</v>
      </c>
      <c r="B15" s="99">
        <f t="shared" si="3"/>
        <v>434.873</v>
      </c>
      <c r="C15" s="77">
        <f>3331.018+228.174</f>
        <v>3559.192</v>
      </c>
      <c r="D15" s="77">
        <f>(28244.05+3893+387.116)*2.204622/2000</f>
        <v>35.851745947626</v>
      </c>
      <c r="E15" s="77">
        <f t="shared" si="0"/>
        <v>4029.916745947626</v>
      </c>
      <c r="F15" s="98"/>
      <c r="G15" s="100">
        <f t="shared" si="1"/>
        <v>2568.2889825169823</v>
      </c>
      <c r="H15" s="77">
        <f>((813.913628+11.508+133.305776))*(2.204622/2)</f>
        <v>1056.8157634306442</v>
      </c>
      <c r="I15" s="98">
        <f t="shared" si="2"/>
        <v>3625.1047459476263</v>
      </c>
      <c r="J15" s="77">
        <f>372.404+32.408</f>
        <v>404.812</v>
      </c>
      <c r="K15" s="26"/>
      <c r="L15" s="26"/>
    </row>
    <row r="16" spans="1:12" ht="15.75">
      <c r="A16" s="59" t="s">
        <v>65</v>
      </c>
      <c r="B16" s="99">
        <f t="shared" si="3"/>
        <v>404.812</v>
      </c>
      <c r="C16" s="77">
        <f>3528.733+244.932</f>
        <v>3773.665</v>
      </c>
      <c r="D16" s="77">
        <f>(18840.141+3912+533.996)*2.204622/2000</f>
        <v>25.668564962607</v>
      </c>
      <c r="E16" s="77">
        <f t="shared" si="0"/>
        <v>4204.145564962607</v>
      </c>
      <c r="F16" s="98"/>
      <c r="G16" s="100">
        <f t="shared" si="1"/>
        <v>2392.260336910014</v>
      </c>
      <c r="H16" s="77">
        <f>((1035.967822+3.391+282.778241))*(2.204622/2)</f>
        <v>1457.4062280525932</v>
      </c>
      <c r="I16" s="98">
        <f t="shared" si="2"/>
        <v>3849.666564962607</v>
      </c>
      <c r="J16" s="77">
        <f>318.123+36.356</f>
        <v>354.479</v>
      </c>
      <c r="K16" s="26"/>
      <c r="L16" s="26"/>
    </row>
    <row r="17" spans="1:12" ht="15.75">
      <c r="A17" s="59" t="s">
        <v>66</v>
      </c>
      <c r="B17" s="99">
        <f t="shared" si="3"/>
        <v>354.479</v>
      </c>
      <c r="C17" s="77">
        <f>3300.745+222.754</f>
        <v>3523.499</v>
      </c>
      <c r="D17" s="77">
        <f>(22651.37+3430+234.788)*2.204622/2000</f>
        <v>29.008590441138</v>
      </c>
      <c r="E17" s="77">
        <f t="shared" si="0"/>
        <v>3906.9865904411377</v>
      </c>
      <c r="F17" s="98"/>
      <c r="G17" s="100">
        <f t="shared" si="1"/>
        <v>2567.2236128871587</v>
      </c>
      <c r="H17" s="77">
        <f>((647.266616+15.782+162.156773))*(2.204622/2)</f>
        <v>909.632977553979</v>
      </c>
      <c r="I17" s="98">
        <f t="shared" si="2"/>
        <v>3476.8565904411375</v>
      </c>
      <c r="J17" s="77">
        <f>387.207+42.923</f>
        <v>430.13</v>
      </c>
      <c r="K17" s="26"/>
      <c r="L17" s="26"/>
    </row>
    <row r="18" spans="1:12" ht="15.75">
      <c r="A18" s="59" t="s">
        <v>67</v>
      </c>
      <c r="B18" s="99">
        <f>J17</f>
        <v>430.13</v>
      </c>
      <c r="C18" s="77">
        <f>3491.318+240.712</f>
        <v>3732.03</v>
      </c>
      <c r="D18" s="77">
        <f>(27525.607+4193+551.493)*2.204622/2000</f>
        <v>35.5716862011</v>
      </c>
      <c r="E18" s="77">
        <f t="shared" si="0"/>
        <v>4197.7316862011</v>
      </c>
      <c r="F18" s="98"/>
      <c r="G18" s="100">
        <f t="shared" si="1"/>
        <v>2971.1634913947382</v>
      </c>
      <c r="H18" s="77">
        <f>((586.449587+7.811+130.195755))*(2.204622/2)</f>
        <v>798.576194806362</v>
      </c>
      <c r="I18" s="98">
        <f>E18-J18</f>
        <v>3769.7396862011</v>
      </c>
      <c r="J18" s="77">
        <f>375.156+52.836</f>
        <v>427.992</v>
      </c>
      <c r="K18" s="26"/>
      <c r="L18" s="26"/>
    </row>
    <row r="19" spans="1:12" ht="15.75">
      <c r="A19" s="59" t="s">
        <v>68</v>
      </c>
      <c r="B19" s="99">
        <f>J18</f>
        <v>427.992</v>
      </c>
      <c r="C19" s="77">
        <f>3268.397+221.13</f>
        <v>3489.527</v>
      </c>
      <c r="D19" s="77">
        <f>(23961.968+3686+352.707)*2.204622/2000</f>
        <v>30.865452059924998</v>
      </c>
      <c r="E19" s="77">
        <f t="shared" si="0"/>
        <v>3948.384452059925</v>
      </c>
      <c r="F19" s="98"/>
      <c r="G19" s="100">
        <f t="shared" si="1"/>
        <v>2747.302544856322</v>
      </c>
      <c r="H19" s="77">
        <f>((612.308227+13.92+145.877746))*(2.204622/2)</f>
        <v>851.100907203603</v>
      </c>
      <c r="I19" s="98">
        <f>E19-J19</f>
        <v>3598.4034520599253</v>
      </c>
      <c r="J19" s="77">
        <f>314.965+35.016</f>
        <v>349.981</v>
      </c>
      <c r="K19" s="26"/>
      <c r="L19" s="26"/>
    </row>
    <row r="20" spans="1:12" ht="15.75">
      <c r="A20" s="59" t="s">
        <v>70</v>
      </c>
      <c r="B20" s="99">
        <f>J19</f>
        <v>349.981</v>
      </c>
      <c r="C20" s="77">
        <f>3400.652+237.432</f>
        <v>3638.084</v>
      </c>
      <c r="D20" s="77">
        <f>(13691.999+2447+200.791+27.504)*2.204622/2000</f>
        <v>18.041848216434</v>
      </c>
      <c r="E20" s="77">
        <f t="shared" si="0"/>
        <v>4006.1068482164337</v>
      </c>
      <c r="F20" s="98"/>
      <c r="G20" s="100">
        <f t="shared" si="1"/>
        <v>2809.6254783808527</v>
      </c>
      <c r="H20" s="77">
        <f>((589.901428+5.875+105.280143))*(2.204622/2)</f>
        <v>772.782369835581</v>
      </c>
      <c r="I20" s="98">
        <f>E20-J20</f>
        <v>3582.4078482164336</v>
      </c>
      <c r="J20" s="77">
        <f>385.868+37.831</f>
        <v>423.699</v>
      </c>
      <c r="K20" s="26"/>
      <c r="L20" s="26"/>
    </row>
    <row r="21" spans="1:12" ht="15.75">
      <c r="A21" s="59" t="s">
        <v>71</v>
      </c>
      <c r="B21" s="99">
        <f>J20</f>
        <v>423.699</v>
      </c>
      <c r="C21" s="77">
        <f>3319.155+237.324</f>
        <v>3556.4790000000003</v>
      </c>
      <c r="D21" s="77">
        <f>(22385.117+3449+117.308+1855.441)*2.204622/2000</f>
        <v>30.651814267326</v>
      </c>
      <c r="E21" s="77">
        <f t="shared" si="0"/>
        <v>4010.829814267326</v>
      </c>
      <c r="F21" s="98"/>
      <c r="G21" s="100">
        <f t="shared" si="1"/>
        <v>2809.030081686718</v>
      </c>
      <c r="H21" s="77">
        <f>((667.072312+4.113+122.891616))*(2.204622/2)</f>
        <v>875.3197325806082</v>
      </c>
      <c r="I21" s="98">
        <f>E21-J21</f>
        <v>3684.349814267326</v>
      </c>
      <c r="J21" s="77">
        <f>290.921+35.559</f>
        <v>326.48</v>
      </c>
      <c r="K21" s="26"/>
      <c r="L21" s="26"/>
    </row>
    <row r="22" spans="1:12" ht="15.75">
      <c r="A22" s="59" t="s">
        <v>73</v>
      </c>
      <c r="B22" s="99">
        <f>J21</f>
        <v>326.48</v>
      </c>
      <c r="C22" s="77">
        <f>3188.771+219.873</f>
        <v>3408.6440000000002</v>
      </c>
      <c r="D22" s="77">
        <f>(20301.931+4018+105.104+15.191)*2.204622/2000</f>
        <v>26.940729962286</v>
      </c>
      <c r="E22" s="77">
        <f t="shared" si="0"/>
        <v>3762.064729962286</v>
      </c>
      <c r="F22" s="98"/>
      <c r="G22" s="100">
        <f t="shared" si="1"/>
        <v>2673.986502943299</v>
      </c>
      <c r="H22" s="77">
        <f>((492.505091+4.872+126.265626))*(2.204622/2)</f>
        <v>687.4482270189869</v>
      </c>
      <c r="I22" s="98">
        <f>E22-J22</f>
        <v>3361.434729962286</v>
      </c>
      <c r="J22" s="77">
        <f>353.758+46.872</f>
        <v>400.63</v>
      </c>
      <c r="K22" s="26"/>
      <c r="L22" s="26"/>
    </row>
    <row r="23" spans="1:12" ht="15.75">
      <c r="A23" s="59" t="s">
        <v>38</v>
      </c>
      <c r="B23" s="99"/>
      <c r="C23" s="77">
        <f>SUM(C11:C22)</f>
        <v>44787.017</v>
      </c>
      <c r="D23" s="77">
        <f>SUM(D11:D22)</f>
        <v>349.4954010900241</v>
      </c>
      <c r="E23" s="77">
        <f>B11+C23+D23</f>
        <v>45400.398401090024</v>
      </c>
      <c r="F23" s="98"/>
      <c r="G23" s="100">
        <f>SUM(G11:G22)</f>
        <v>33398.85552584723</v>
      </c>
      <c r="H23" s="77">
        <f>SUM(H11:H22)</f>
        <v>11600.912875242791</v>
      </c>
      <c r="I23" s="98">
        <f>SUM(I11:I22)</f>
        <v>44999.76840109003</v>
      </c>
      <c r="J23" s="77"/>
      <c r="K23" s="26"/>
      <c r="L23" s="26"/>
    </row>
    <row r="24" spans="1:12" ht="15.75">
      <c r="A24" s="59"/>
      <c r="B24" s="99"/>
      <c r="C24" s="77"/>
      <c r="D24" s="77"/>
      <c r="E24" s="77"/>
      <c r="F24" s="98"/>
      <c r="G24" s="100"/>
      <c r="H24" s="77"/>
      <c r="I24" s="98"/>
      <c r="J24" s="77"/>
      <c r="K24" s="26"/>
      <c r="L24" s="26"/>
    </row>
    <row r="25" spans="1:10" ht="14.25">
      <c r="A25" s="56" t="s">
        <v>127</v>
      </c>
      <c r="B25" s="97"/>
      <c r="C25" s="77"/>
      <c r="D25" s="77"/>
      <c r="E25" s="77"/>
      <c r="F25" s="98"/>
      <c r="G25" s="77"/>
      <c r="H25" s="77"/>
      <c r="I25" s="77"/>
      <c r="J25" s="98"/>
    </row>
    <row r="26" spans="1:12" ht="15.75">
      <c r="A26" s="59" t="s">
        <v>60</v>
      </c>
      <c r="B26" s="99">
        <f>J22</f>
        <v>400.63</v>
      </c>
      <c r="C26" s="77">
        <f>3847.77+276.055</f>
        <v>4123.825</v>
      </c>
      <c r="D26" s="77">
        <f>(22850.083+3613+112.237+227.84)*2.204622/2000</f>
        <v>29.545418102760003</v>
      </c>
      <c r="E26" s="77">
        <f>SUM(B26:D26)</f>
        <v>4554.00041810276</v>
      </c>
      <c r="F26" s="98"/>
      <c r="G26" s="100">
        <f>I26-H26</f>
        <v>3378.9507719212515</v>
      </c>
      <c r="H26" s="77">
        <f>((600.583832+9.196+99.408996))*(2.204622/2)</f>
        <v>781.7466461815081</v>
      </c>
      <c r="I26" s="98">
        <f>E26-J26</f>
        <v>4160.69741810276</v>
      </c>
      <c r="J26" s="77">
        <f>350.935+42.368</f>
        <v>393.303</v>
      </c>
      <c r="K26" s="26"/>
      <c r="L26" s="26"/>
    </row>
    <row r="27" spans="1:12" ht="15.75">
      <c r="A27" s="59" t="s">
        <v>61</v>
      </c>
      <c r="B27" s="99">
        <f>J26</f>
        <v>393.303</v>
      </c>
      <c r="C27" s="77">
        <f>3829.14+272.552</f>
        <v>4101.692</v>
      </c>
      <c r="D27" s="77">
        <f>(24104.721+6882+138.856+88.687)*2.204622/2000</f>
        <v>34.407826564104006</v>
      </c>
      <c r="E27" s="77">
        <f>SUM(B27:D27)</f>
        <v>4529.402826564104</v>
      </c>
      <c r="F27" s="98"/>
      <c r="G27" s="100">
        <f>I27-H27</f>
        <v>3025.3893909728904</v>
      </c>
      <c r="H27" s="77">
        <f>((805.972547+9.59+195.862936))*(2.204622/2)</f>
        <v>1114.905435591213</v>
      </c>
      <c r="I27" s="98">
        <f>E27-J27</f>
        <v>4140.2948265641035</v>
      </c>
      <c r="J27" s="77">
        <f>354.998+34.11</f>
        <v>389.108</v>
      </c>
      <c r="K27" s="26"/>
      <c r="L27" s="26"/>
    </row>
    <row r="28" spans="1:12" ht="15.75">
      <c r="A28" s="59" t="s">
        <v>62</v>
      </c>
      <c r="B28" s="99">
        <f>J27</f>
        <v>389.108</v>
      </c>
      <c r="C28" s="77">
        <f>3904.161+268.856</f>
        <v>4173.017</v>
      </c>
      <c r="D28" s="77">
        <f>(24390.242+4546+327.365+22.939)*2.204622/2000</f>
        <v>32.282881807806</v>
      </c>
      <c r="E28" s="77">
        <f>SUM(B28:D28)</f>
        <v>4594.407881807806</v>
      </c>
      <c r="F28" s="98"/>
      <c r="G28" s="100">
        <f>I28-H28</f>
        <v>2853.9856812121043</v>
      </c>
      <c r="H28" s="77">
        <f>((831.002634+4.499+240.002648))*(2.204622/2)</f>
        <v>1185.540200595702</v>
      </c>
      <c r="I28" s="98">
        <f>E28-J28</f>
        <v>4039.525881807806</v>
      </c>
      <c r="J28" s="77">
        <f>506.203+48.679</f>
        <v>554.882</v>
      </c>
      <c r="K28" s="26"/>
      <c r="L28" s="26"/>
    </row>
    <row r="29" spans="1:12" ht="15.75">
      <c r="A29" s="59" t="s">
        <v>63</v>
      </c>
      <c r="B29" s="99">
        <f>J28</f>
        <v>554.882</v>
      </c>
      <c r="C29" s="77">
        <f>3866.756+269.266</f>
        <v>4136.022</v>
      </c>
      <c r="D29" s="77">
        <f>(36971.805+5379+529.766+155.003)*2.204622/2000</f>
        <v>47.438586611514005</v>
      </c>
      <c r="E29" s="77">
        <f>SUM(B29:D29)</f>
        <v>4738.342586611514</v>
      </c>
      <c r="F29" s="98"/>
      <c r="G29" s="100">
        <f>I29-H29</f>
        <v>3168.856752734392</v>
      </c>
      <c r="H29" s="77">
        <f>((963.675889+8.332+100.939613))*(2.204622/2)</f>
        <v>1182.721833877122</v>
      </c>
      <c r="I29" s="98">
        <f>E29-J29</f>
        <v>4351.578586611514</v>
      </c>
      <c r="J29" s="77">
        <f>356.194+30.57</f>
        <v>386.764</v>
      </c>
      <c r="K29" s="26"/>
      <c r="L29" s="26"/>
    </row>
    <row r="30" spans="1:10" ht="14.25">
      <c r="A30" s="55" t="s">
        <v>126</v>
      </c>
      <c r="B30" s="101"/>
      <c r="C30" s="86">
        <f>SUM(C26:C29)</f>
        <v>16534.556</v>
      </c>
      <c r="D30" s="86">
        <f>SUM(D26:D29)</f>
        <v>143.67471308618403</v>
      </c>
      <c r="E30" s="86">
        <f>B26+C30+D30</f>
        <v>17078.860713086186</v>
      </c>
      <c r="F30" s="86">
        <f>SUM(F26:F27)</f>
        <v>0</v>
      </c>
      <c r="G30" s="86">
        <f>SUM(G26:G29)</f>
        <v>12427.182596840637</v>
      </c>
      <c r="H30" s="86">
        <f>SUM(H26:H29)</f>
        <v>4264.914116245545</v>
      </c>
      <c r="I30" s="86">
        <f>SUM(I26:I29)</f>
        <v>16692.096713086183</v>
      </c>
      <c r="J30" s="86"/>
    </row>
    <row r="31" spans="1:10" ht="16.5">
      <c r="A31" s="102" t="s">
        <v>150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>
      <c r="A32" s="56" t="s">
        <v>151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4.25">
      <c r="A33" s="56" t="s">
        <v>26</v>
      </c>
      <c r="B33" s="94">
        <f ca="1">NOW()</f>
        <v>43171.39808888889</v>
      </c>
      <c r="C33" s="76"/>
      <c r="D33" s="72"/>
      <c r="E33" s="72"/>
      <c r="F33" s="72"/>
      <c r="G33" s="72"/>
      <c r="H33" s="72"/>
      <c r="I33" s="72"/>
      <c r="J33" s="72"/>
    </row>
    <row r="34" spans="1:10" ht="12.75">
      <c r="A34" s="1"/>
      <c r="B34" s="3"/>
      <c r="C34" s="4"/>
      <c r="D34" s="3"/>
      <c r="E34" s="3"/>
      <c r="F34" s="3"/>
      <c r="G34" s="3"/>
      <c r="H34" s="5"/>
      <c r="I34" s="3"/>
      <c r="J34" s="3"/>
    </row>
    <row r="35" spans="1:10" ht="12.7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F1">
      <selection activeCell="L30" sqref="L3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7"/>
      <c r="K2" s="57"/>
      <c r="L2" s="56"/>
    </row>
    <row r="3" spans="1:12" ht="14.25">
      <c r="A3" s="56" t="s">
        <v>86</v>
      </c>
      <c r="B3" s="58" t="s">
        <v>36</v>
      </c>
      <c r="C3" s="103" t="s">
        <v>1</v>
      </c>
      <c r="D3" s="103" t="s">
        <v>37</v>
      </c>
      <c r="E3" s="103" t="s">
        <v>32</v>
      </c>
      <c r="F3" s="103"/>
      <c r="G3" s="57" t="s">
        <v>35</v>
      </c>
      <c r="H3" s="57"/>
      <c r="I3" s="57"/>
      <c r="J3" s="103" t="s">
        <v>39</v>
      </c>
      <c r="K3" s="103" t="s">
        <v>32</v>
      </c>
      <c r="L3" s="103" t="s">
        <v>34</v>
      </c>
    </row>
    <row r="4" spans="1:12" ht="14.25">
      <c r="A4" s="61" t="s">
        <v>87</v>
      </c>
      <c r="B4" s="63" t="s">
        <v>33</v>
      </c>
      <c r="C4" s="64"/>
      <c r="D4" s="64"/>
      <c r="E4" s="64"/>
      <c r="F4" s="64"/>
      <c r="G4" s="63" t="s">
        <v>3</v>
      </c>
      <c r="H4" s="63" t="s">
        <v>100</v>
      </c>
      <c r="I4" s="63" t="s">
        <v>124</v>
      </c>
      <c r="J4" s="64"/>
      <c r="K4" s="64"/>
      <c r="L4" s="103" t="s">
        <v>99</v>
      </c>
    </row>
    <row r="5" spans="1:12" ht="14.25">
      <c r="A5" s="56"/>
      <c r="B5" s="148" t="s">
        <v>115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6.5">
      <c r="A7" s="56" t="s">
        <v>145</v>
      </c>
      <c r="B7" s="97">
        <v>1854.818</v>
      </c>
      <c r="C7" s="97">
        <v>21950.230999999996</v>
      </c>
      <c r="D7" s="97">
        <v>287.646080108688</v>
      </c>
      <c r="E7" s="97">
        <f>+B7+C7+D7</f>
        <v>24092.695080108682</v>
      </c>
      <c r="F7" s="97"/>
      <c r="G7" s="97">
        <f>+K7-J7</f>
        <v>20163.340848467946</v>
      </c>
      <c r="H7" s="97">
        <v>5670.21</v>
      </c>
      <c r="I7" s="97">
        <f>G7-H7</f>
        <v>14493.130848467947</v>
      </c>
      <c r="J7" s="97">
        <v>2242.5412316407383</v>
      </c>
      <c r="K7" s="97">
        <f>+E7-L7</f>
        <v>22405.882080108684</v>
      </c>
      <c r="L7" s="97">
        <f>1417.4+269.413</f>
        <v>1686.813</v>
      </c>
      <c r="M7" s="17"/>
    </row>
    <row r="8" spans="1:13" ht="16.5">
      <c r="A8" s="56" t="s">
        <v>146</v>
      </c>
      <c r="B8" s="97">
        <f>+L7</f>
        <v>1686.813</v>
      </c>
      <c r="C8" s="97">
        <f>C24</f>
        <v>22123.409</v>
      </c>
      <c r="D8" s="97">
        <f>D24</f>
        <v>318.24398695887</v>
      </c>
      <c r="E8" s="97">
        <f>+B8+C8+D8</f>
        <v>24128.465986958872</v>
      </c>
      <c r="F8" s="97"/>
      <c r="G8" s="97">
        <f>+K8-J8</f>
        <v>19861.203246716395</v>
      </c>
      <c r="H8" s="97">
        <f>H24</f>
        <v>6200.299999999999</v>
      </c>
      <c r="I8" s="97">
        <f>G8-H8</f>
        <v>13660.903246716396</v>
      </c>
      <c r="J8" s="97">
        <f>J24</f>
        <v>2556.308740242474</v>
      </c>
      <c r="K8" s="97">
        <f>+E8-L8</f>
        <v>22417.51198695887</v>
      </c>
      <c r="L8" s="97">
        <f>L23</f>
        <v>1710.954</v>
      </c>
      <c r="M8" s="17"/>
    </row>
    <row r="9" spans="1:13" ht="16.5">
      <c r="A9" s="56" t="s">
        <v>147</v>
      </c>
      <c r="B9" s="97">
        <f>+L8</f>
        <v>1710.954</v>
      </c>
      <c r="C9" s="97">
        <v>22640</v>
      </c>
      <c r="D9" s="97">
        <v>300</v>
      </c>
      <c r="E9" s="97">
        <f>+B9+C9+D9</f>
        <v>24650.954</v>
      </c>
      <c r="F9" s="97"/>
      <c r="G9" s="97">
        <f>+K9-J9</f>
        <v>20999.954</v>
      </c>
      <c r="H9" s="97">
        <v>7200</v>
      </c>
      <c r="I9" s="97">
        <f>G9-H9</f>
        <v>13799.954000000002</v>
      </c>
      <c r="J9" s="97">
        <v>1900</v>
      </c>
      <c r="K9" s="97">
        <f>+E9-L9</f>
        <v>22899.954</v>
      </c>
      <c r="L9" s="97">
        <v>1751</v>
      </c>
      <c r="M9" s="17"/>
    </row>
    <row r="10" spans="1:13" ht="14.25">
      <c r="A10" s="5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7"/>
    </row>
    <row r="11" spans="1:12" ht="14.25">
      <c r="A11" s="56" t="s">
        <v>123</v>
      </c>
      <c r="B11" s="97"/>
      <c r="C11" s="77"/>
      <c r="D11" s="77"/>
      <c r="E11" s="77"/>
      <c r="F11" s="98"/>
      <c r="G11" s="77"/>
      <c r="H11" s="77"/>
      <c r="I11" s="77"/>
      <c r="J11" s="77"/>
      <c r="K11" s="77"/>
      <c r="L11" s="98"/>
    </row>
    <row r="12" spans="1:12" ht="14.25">
      <c r="A12" s="59" t="s">
        <v>60</v>
      </c>
      <c r="B12" s="98">
        <f>1417.4+269.413</f>
        <v>1686.813</v>
      </c>
      <c r="C12" s="104">
        <v>2028.518</v>
      </c>
      <c r="D12" s="98">
        <f>(0.464626+0+5.858961+0)*2.204622</f>
        <v>13.941119019114</v>
      </c>
      <c r="E12" s="98">
        <f aca="true" t="shared" si="0" ref="E12:E23">SUM(B12:D12)</f>
        <v>3729.272119019114</v>
      </c>
      <c r="F12" s="98"/>
      <c r="G12" s="98">
        <f aca="true" t="shared" si="1" ref="G12:G23">K12-J12</f>
        <v>1692.9790293776182</v>
      </c>
      <c r="H12" s="98">
        <v>525.96</v>
      </c>
      <c r="I12" s="98">
        <f aca="true" t="shared" si="2" ref="I12:I23">G12-H12</f>
        <v>1167.0190293776182</v>
      </c>
      <c r="J12" s="98">
        <f>(87.527672+0.238795+21.038125+0.503076)*2.204622</f>
        <v>240.98208964149597</v>
      </c>
      <c r="K12" s="98">
        <f aca="true" t="shared" si="3" ref="K12:K23">E12-L12</f>
        <v>1933.9611190191142</v>
      </c>
      <c r="L12" s="98">
        <f>1437.483+357.828</f>
        <v>1795.311</v>
      </c>
    </row>
    <row r="13" spans="1:12" ht="14.25">
      <c r="A13" s="59" t="s">
        <v>61</v>
      </c>
      <c r="B13" s="98">
        <f aca="true" t="shared" si="4" ref="B13:B18">L12</f>
        <v>1795.311</v>
      </c>
      <c r="C13" s="104">
        <v>1961.256</v>
      </c>
      <c r="D13" s="98">
        <f>(11.291133+0+6.136446+0)*2.204622</f>
        <v>38.421224070138</v>
      </c>
      <c r="E13" s="98">
        <f t="shared" si="0"/>
        <v>3794.988224070138</v>
      </c>
      <c r="F13" s="98"/>
      <c r="G13" s="98">
        <f t="shared" si="1"/>
        <v>1777.576038563534</v>
      </c>
      <c r="H13" s="98">
        <v>595.83</v>
      </c>
      <c r="I13" s="98">
        <f t="shared" si="2"/>
        <v>1181.746038563534</v>
      </c>
      <c r="J13" s="98">
        <f>(90.24774+0.217251+16.55696+0.343931)*2.204622</f>
        <v>236.70118550660402</v>
      </c>
      <c r="K13" s="98">
        <f t="shared" si="3"/>
        <v>2014.2772240701381</v>
      </c>
      <c r="L13" s="98">
        <f>1473.201+307.51</f>
        <v>1780.711</v>
      </c>
    </row>
    <row r="14" spans="1:12" ht="14.25">
      <c r="A14" s="59" t="s">
        <v>62</v>
      </c>
      <c r="B14" s="98">
        <f t="shared" si="4"/>
        <v>1780.711</v>
      </c>
      <c r="C14" s="104">
        <v>1950.176</v>
      </c>
      <c r="D14" s="98">
        <f>(12.204046+0+9.312901+0.00046)*2.204622</f>
        <v>47.437748855154005</v>
      </c>
      <c r="E14" s="98">
        <f t="shared" si="0"/>
        <v>3778.3247488551538</v>
      </c>
      <c r="F14" s="98"/>
      <c r="G14" s="98">
        <f t="shared" si="1"/>
        <v>1670.5200420764818</v>
      </c>
      <c r="H14" s="98">
        <v>610.47</v>
      </c>
      <c r="I14" s="98">
        <f t="shared" si="2"/>
        <v>1060.0500420764818</v>
      </c>
      <c r="J14" s="98">
        <f>(89.749274+0.363189+16.519097+0.205216)*2.204622</f>
        <v>235.53470677867202</v>
      </c>
      <c r="K14" s="98">
        <f t="shared" si="3"/>
        <v>1906.0547488551538</v>
      </c>
      <c r="L14" s="98">
        <f>1505.351+366.919</f>
        <v>1872.27</v>
      </c>
    </row>
    <row r="15" spans="1:12" ht="14.25">
      <c r="A15" s="59" t="s">
        <v>63</v>
      </c>
      <c r="B15" s="98">
        <f t="shared" si="4"/>
        <v>1872.27</v>
      </c>
      <c r="C15" s="104">
        <v>1982.893</v>
      </c>
      <c r="D15" s="98">
        <f>(0.465872+0+9.79584+0.02089)*2.204622</f>
        <v>22.669250586443997</v>
      </c>
      <c r="E15" s="98">
        <f t="shared" si="0"/>
        <v>3877.832250586444</v>
      </c>
      <c r="F15" s="98"/>
      <c r="G15" s="98">
        <f t="shared" si="1"/>
        <v>1492.7803835339598</v>
      </c>
      <c r="H15" s="98">
        <v>390.11</v>
      </c>
      <c r="I15" s="98">
        <f t="shared" si="2"/>
        <v>1102.67038353396</v>
      </c>
      <c r="J15" s="98">
        <f>(93.975464+0.129304+23.105929+0.430725)*2.204622</f>
        <v>259.354867052484</v>
      </c>
      <c r="K15" s="98">
        <f t="shared" si="3"/>
        <v>1752.1352505864438</v>
      </c>
      <c r="L15" s="98">
        <f>1731.033+394.664</f>
        <v>2125.697</v>
      </c>
    </row>
    <row r="16" spans="1:12" ht="14.25">
      <c r="A16" s="59" t="s">
        <v>64</v>
      </c>
      <c r="B16" s="98">
        <f t="shared" si="4"/>
        <v>2125.697</v>
      </c>
      <c r="C16" s="104">
        <v>1757.03</v>
      </c>
      <c r="D16" s="98">
        <f>(1.000145+0+8.449661+0)*2.204622</f>
        <v>20.833250203332003</v>
      </c>
      <c r="E16" s="98">
        <f t="shared" si="0"/>
        <v>3903.560250203332</v>
      </c>
      <c r="F16" s="98"/>
      <c r="G16" s="98">
        <f t="shared" si="1"/>
        <v>1451.497782650166</v>
      </c>
      <c r="H16" s="98">
        <v>369.18</v>
      </c>
      <c r="I16" s="98">
        <f t="shared" si="2"/>
        <v>1082.317782650166</v>
      </c>
      <c r="J16" s="98">
        <f>(89.650838+0.095622+18.256324+0.290369)*2.204622</f>
        <v>238.74546755316598</v>
      </c>
      <c r="K16" s="98">
        <f t="shared" si="3"/>
        <v>1690.243250203332</v>
      </c>
      <c r="L16" s="98">
        <f>1801.761+411.556</f>
        <v>2213.317</v>
      </c>
    </row>
    <row r="17" spans="1:12" ht="14.25">
      <c r="A17" s="59" t="s">
        <v>65</v>
      </c>
      <c r="B17" s="98">
        <f t="shared" si="4"/>
        <v>2213.317</v>
      </c>
      <c r="C17" s="104">
        <v>1865.466</v>
      </c>
      <c r="D17" s="98">
        <f>(0.798167+0+11.47952+0)*2.204622</f>
        <v>27.067658869314002</v>
      </c>
      <c r="E17" s="98">
        <f t="shared" si="0"/>
        <v>4105.8506588693135</v>
      </c>
      <c r="F17" s="98"/>
      <c r="G17" s="98">
        <f t="shared" si="1"/>
        <v>1467.4820142469578</v>
      </c>
      <c r="H17" s="98">
        <v>369.46</v>
      </c>
      <c r="I17" s="98">
        <f t="shared" si="2"/>
        <v>1098.0220142469577</v>
      </c>
      <c r="J17" s="98">
        <f>(107.656266+0.337664+25.32694+0.276928)*2.204622</f>
        <v>294.53264462235603</v>
      </c>
      <c r="K17" s="98">
        <f t="shared" si="3"/>
        <v>1762.0146588693137</v>
      </c>
      <c r="L17" s="98">
        <f>1934.877+408.959</f>
        <v>2343.836</v>
      </c>
    </row>
    <row r="18" spans="1:12" ht="14.25">
      <c r="A18" s="59" t="s">
        <v>66</v>
      </c>
      <c r="B18" s="98">
        <f t="shared" si="4"/>
        <v>2343.836</v>
      </c>
      <c r="C18" s="104">
        <v>1737.775</v>
      </c>
      <c r="D18" s="98">
        <f>(1.601678+0+13.024339+0.006804)*2.204622</f>
        <v>32.259839098662</v>
      </c>
      <c r="E18" s="98">
        <f t="shared" si="0"/>
        <v>4113.870839098662</v>
      </c>
      <c r="F18" s="98"/>
      <c r="G18" s="98">
        <f t="shared" si="1"/>
        <v>1615.544819568114</v>
      </c>
      <c r="H18" s="98">
        <v>426.71</v>
      </c>
      <c r="I18" s="98">
        <f t="shared" si="2"/>
        <v>1188.834819568114</v>
      </c>
      <c r="J18" s="98">
        <f>(89.883452+0.094891+27.024477+0.176914)*2.204622</f>
        <v>258.33701953054805</v>
      </c>
      <c r="K18" s="98">
        <f t="shared" si="3"/>
        <v>1873.881839098662</v>
      </c>
      <c r="L18" s="98">
        <f>1848.364+391.625</f>
        <v>2239.989</v>
      </c>
    </row>
    <row r="19" spans="1:12" ht="14.25">
      <c r="A19" s="59" t="s">
        <v>67</v>
      </c>
      <c r="B19" s="98">
        <f>L18</f>
        <v>2239.989</v>
      </c>
      <c r="C19" s="104">
        <v>1839.342</v>
      </c>
      <c r="D19" s="98">
        <f>(1.669072+0+12.624629+0)*2.204622</f>
        <v>31.512207686022002</v>
      </c>
      <c r="E19" s="98">
        <f t="shared" si="0"/>
        <v>4110.843207686022</v>
      </c>
      <c r="F19" s="98"/>
      <c r="G19" s="98">
        <f t="shared" si="1"/>
        <v>1680.3942939163217</v>
      </c>
      <c r="H19" s="98">
        <v>545.51</v>
      </c>
      <c r="I19" s="98">
        <f t="shared" si="2"/>
        <v>1134.8842939163217</v>
      </c>
      <c r="J19" s="98">
        <f>(47.877041+0.165843+24.707034+0.366432)*2.204622</f>
        <v>161.19391376970003</v>
      </c>
      <c r="K19" s="98">
        <f t="shared" si="3"/>
        <v>1841.5882076860216</v>
      </c>
      <c r="L19" s="98">
        <f>1888.717+380.538</f>
        <v>2269.255</v>
      </c>
    </row>
    <row r="20" spans="1:12" ht="14.25">
      <c r="A20" s="59" t="s">
        <v>68</v>
      </c>
      <c r="B20" s="98">
        <f>L19</f>
        <v>2269.255</v>
      </c>
      <c r="C20" s="104">
        <v>1735.608</v>
      </c>
      <c r="D20" s="98">
        <f>(0.590355+0+10.424846+0.00225)*2.204622</f>
        <v>24.289314858522005</v>
      </c>
      <c r="E20" s="98">
        <f t="shared" si="0"/>
        <v>4029.1523148585225</v>
      </c>
      <c r="F20" s="98"/>
      <c r="G20" s="98">
        <f t="shared" si="1"/>
        <v>1748.0461556972907</v>
      </c>
      <c r="H20" s="98">
        <v>548.84</v>
      </c>
      <c r="I20" s="98">
        <f t="shared" si="2"/>
        <v>1199.2061556972908</v>
      </c>
      <c r="J20" s="98">
        <f>(47.928651+0.32108+14.068253+0.381272)*2.204622</f>
        <v>138.228159161232</v>
      </c>
      <c r="K20" s="98">
        <f t="shared" si="3"/>
        <v>1886.2743148585228</v>
      </c>
      <c r="L20" s="98">
        <f>1815.157+327.721</f>
        <v>2142.8779999999997</v>
      </c>
    </row>
    <row r="21" spans="1:12" ht="14.25">
      <c r="A21" s="59" t="s">
        <v>70</v>
      </c>
      <c r="B21" s="98">
        <f>L20</f>
        <v>2142.8779999999997</v>
      </c>
      <c r="C21" s="104">
        <v>1801.376</v>
      </c>
      <c r="D21" s="98">
        <f>(0.52838+0+9.659862+0)*2.204622</f>
        <v>22.461222454524002</v>
      </c>
      <c r="E21" s="98">
        <f t="shared" si="0"/>
        <v>3966.715222454524</v>
      </c>
      <c r="F21" s="98"/>
      <c r="G21" s="98">
        <f t="shared" si="1"/>
        <v>1766.790817894862</v>
      </c>
      <c r="H21" s="98">
        <v>606.15</v>
      </c>
      <c r="I21" s="98">
        <f t="shared" si="2"/>
        <v>1160.6408178948618</v>
      </c>
      <c r="J21" s="98">
        <f>(65.286168+0.148382+24.814047+0.209724)*2.204622</f>
        <v>199.426404559662</v>
      </c>
      <c r="K21" s="98">
        <f t="shared" si="3"/>
        <v>1966.2172224545238</v>
      </c>
      <c r="L21" s="98">
        <f>1627.909+372.589</f>
        <v>2000.498</v>
      </c>
    </row>
    <row r="22" spans="1:12" ht="14.25">
      <c r="A22" s="59" t="s">
        <v>71</v>
      </c>
      <c r="B22" s="98">
        <f>L21</f>
        <v>2000.498</v>
      </c>
      <c r="C22" s="104">
        <v>1762.207</v>
      </c>
      <c r="D22" s="98">
        <f>(0.496453+0+8.280401+0)*2.204622</f>
        <v>19.349645419188</v>
      </c>
      <c r="E22" s="98">
        <f t="shared" si="0"/>
        <v>3782.054645419188</v>
      </c>
      <c r="F22" s="98"/>
      <c r="G22" s="98">
        <f t="shared" si="1"/>
        <v>1808.5986725403723</v>
      </c>
      <c r="H22" s="98">
        <v>608.17</v>
      </c>
      <c r="I22" s="98">
        <f t="shared" si="2"/>
        <v>1200.4286725403722</v>
      </c>
      <c r="J22" s="98">
        <f>(58.152578+0.182461+15.403299+0.24939)*2.204622</f>
        <v>163.11497287881602</v>
      </c>
      <c r="K22" s="98">
        <f t="shared" si="3"/>
        <v>1971.7136454191882</v>
      </c>
      <c r="L22" s="98">
        <f>1483.031+327.31</f>
        <v>1810.341</v>
      </c>
    </row>
    <row r="23" spans="1:12" ht="14.25">
      <c r="A23" s="59" t="s">
        <v>73</v>
      </c>
      <c r="B23" s="98">
        <f>L22</f>
        <v>1810.341</v>
      </c>
      <c r="C23" s="104">
        <v>1701.762</v>
      </c>
      <c r="D23" s="98">
        <f>(0.555986+0+7.608882+0.00048)*2.204622</f>
        <v>18.001505838456</v>
      </c>
      <c r="E23" s="98">
        <f t="shared" si="0"/>
        <v>3530.104505838456</v>
      </c>
      <c r="F23" s="98"/>
      <c r="G23" s="98">
        <f t="shared" si="1"/>
        <v>1688.9931966507181</v>
      </c>
      <c r="H23" s="98">
        <v>603.91</v>
      </c>
      <c r="I23" s="98">
        <f t="shared" si="2"/>
        <v>1085.083196650718</v>
      </c>
      <c r="J23" s="98">
        <f>(41.879713+0.162186+16.816061+0.180419)*2.204622</f>
        <v>130.157309187738</v>
      </c>
      <c r="K23" s="98">
        <f t="shared" si="3"/>
        <v>1819.1505058384562</v>
      </c>
      <c r="L23" s="98">
        <f>1400.918+310.036</f>
        <v>1710.954</v>
      </c>
    </row>
    <row r="24" spans="1:12" ht="14.25">
      <c r="A24" s="59" t="s">
        <v>38</v>
      </c>
      <c r="B24" s="98"/>
      <c r="C24" s="104">
        <f>SUM(C12:C23)</f>
        <v>22123.409</v>
      </c>
      <c r="D24" s="98">
        <f>SUM(D12:D23)</f>
        <v>318.24398695887</v>
      </c>
      <c r="E24" s="98">
        <f>B12+C24+D24</f>
        <v>24128.465986958872</v>
      </c>
      <c r="F24" s="98"/>
      <c r="G24" s="98">
        <f>SUM(G12:G23)</f>
        <v>19861.2032467164</v>
      </c>
      <c r="H24" s="98">
        <f>SUM(H12:H23)</f>
        <v>6200.299999999999</v>
      </c>
      <c r="I24" s="98">
        <f>SUM(I12:I23)</f>
        <v>13660.903246716398</v>
      </c>
      <c r="J24" s="98">
        <f>SUM(J12:J23)</f>
        <v>2556.308740242474</v>
      </c>
      <c r="K24" s="98">
        <f>SUM(K12:K23)</f>
        <v>22417.51198695887</v>
      </c>
      <c r="L24" s="98"/>
    </row>
    <row r="25" spans="1:12" ht="14.25">
      <c r="A25" s="59"/>
      <c r="B25" s="98"/>
      <c r="C25" s="104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>
      <c r="A26" s="56" t="s">
        <v>127</v>
      </c>
      <c r="B26" s="97"/>
      <c r="C26" s="77"/>
      <c r="D26" s="77"/>
      <c r="E26" s="77"/>
      <c r="F26" s="98"/>
      <c r="G26" s="77"/>
      <c r="H26" s="77"/>
      <c r="I26" s="77"/>
      <c r="J26" s="77"/>
      <c r="K26" s="77"/>
      <c r="L26" s="98"/>
    </row>
    <row r="27" spans="1:12" ht="14.25">
      <c r="A27" s="59" t="s">
        <v>60</v>
      </c>
      <c r="B27" s="98">
        <f>L23</f>
        <v>1710.954</v>
      </c>
      <c r="C27" s="104">
        <v>2016.888</v>
      </c>
      <c r="D27" s="98">
        <f>(0.66492+0+13.936652+0)*2.204622</f>
        <v>32.19094686578401</v>
      </c>
      <c r="E27" s="98">
        <f>SUM(B27:D27)</f>
        <v>3760.0329468657837</v>
      </c>
      <c r="F27" s="98"/>
      <c r="G27" s="98">
        <f>K27-J27</f>
        <v>1921.0186651807458</v>
      </c>
      <c r="H27" s="98">
        <v>577.43</v>
      </c>
      <c r="I27" s="98">
        <f>G27-H27</f>
        <v>1343.588665180746</v>
      </c>
      <c r="J27" s="98">
        <f>(80.314562+0.085525+15.854739+0.265703)*2.204622</f>
        <v>212.791281685038</v>
      </c>
      <c r="K27" s="98">
        <f>E27-L27</f>
        <v>2133.809946865784</v>
      </c>
      <c r="L27" s="98">
        <f>1300.36+325.863</f>
        <v>1626.223</v>
      </c>
    </row>
    <row r="28" spans="1:12" ht="14.25">
      <c r="A28" s="59" t="s">
        <v>61</v>
      </c>
      <c r="B28" s="98">
        <f>L27</f>
        <v>1626.223</v>
      </c>
      <c r="C28" s="77">
        <v>1977.005</v>
      </c>
      <c r="D28" s="98">
        <f>(0.669225+0+9.3206+0.0008)*2.204622</f>
        <v>22.02555166875</v>
      </c>
      <c r="E28" s="98">
        <f>SUM(B28:D28)</f>
        <v>3625.25355166875</v>
      </c>
      <c r="F28" s="98"/>
      <c r="G28" s="98">
        <f>K28-J28</f>
        <v>1802.719776277992</v>
      </c>
      <c r="H28" s="98">
        <v>590.8</v>
      </c>
      <c r="I28" s="98">
        <f>G28-H28</f>
        <v>1211.919776277992</v>
      </c>
      <c r="J28" s="98">
        <f>(41.848689+0.208519+17.593426+0.202155)*2.204622</f>
        <v>131.952775390758</v>
      </c>
      <c r="K28" s="98">
        <f>E28-L28</f>
        <v>1934.67255166875</v>
      </c>
      <c r="L28" s="98">
        <f>1379.223+311.358</f>
        <v>1690.581</v>
      </c>
    </row>
    <row r="29" spans="1:12" ht="14.25">
      <c r="A29" s="59" t="s">
        <v>62</v>
      </c>
      <c r="B29" s="98">
        <f>L28</f>
        <v>1690.581</v>
      </c>
      <c r="C29" s="77">
        <v>2015.256</v>
      </c>
      <c r="D29" s="98">
        <f>(0.611691+0+13.536221+0.0008)*2.204622</f>
        <v>31.192561746864</v>
      </c>
      <c r="E29" s="98">
        <f>SUM(B29:D29)</f>
        <v>3737.029561746864</v>
      </c>
      <c r="F29" s="98"/>
      <c r="G29" s="98">
        <f>K29-J29</f>
        <v>1613.3854126465</v>
      </c>
      <c r="H29" s="98">
        <v>593.99</v>
      </c>
      <c r="I29" s="98">
        <f>G29-H29</f>
        <v>1019.3954126465001</v>
      </c>
      <c r="J29" s="98">
        <f>(60.89152+0.230156+17.190764+0.145522)*2.204622</f>
        <v>172.97014910036404</v>
      </c>
      <c r="K29" s="98">
        <f>E29-L29</f>
        <v>1786.3555617468642</v>
      </c>
      <c r="L29" s="98">
        <f>1583.544+367.13</f>
        <v>1950.674</v>
      </c>
    </row>
    <row r="30" spans="1:12" ht="14.25">
      <c r="A30" s="59" t="s">
        <v>63</v>
      </c>
      <c r="B30" s="98">
        <f>L29</f>
        <v>1950.674</v>
      </c>
      <c r="C30" s="77">
        <v>1997.727</v>
      </c>
      <c r="D30" s="98">
        <f>(0.671011+0.001728+9.360229+0)*2.204622</f>
        <v>22.118901978096</v>
      </c>
      <c r="E30" s="98">
        <f>SUM(B30:D30)</f>
        <v>3970.5199019780957</v>
      </c>
      <c r="F30" s="98"/>
      <c r="G30" s="98">
        <f>K30-J30</f>
        <v>1560.6159381743698</v>
      </c>
      <c r="H30" s="98" t="s">
        <v>10</v>
      </c>
      <c r="I30" s="98" t="s">
        <v>10</v>
      </c>
      <c r="J30" s="98">
        <f>(67.939406+0.153133+13.644+0.213094)*2.204622</f>
        <v>180.66796380372602</v>
      </c>
      <c r="K30" s="98">
        <f>E30-L30</f>
        <v>1741.2839019780959</v>
      </c>
      <c r="L30" s="98">
        <f>1865.686+363.55</f>
        <v>2229.236</v>
      </c>
    </row>
    <row r="31" spans="1:12" ht="14.25">
      <c r="A31" s="55" t="s">
        <v>126</v>
      </c>
      <c r="B31" s="105"/>
      <c r="C31" s="86">
        <f>SUM(C27:C30)</f>
        <v>8006.876</v>
      </c>
      <c r="D31" s="105">
        <f>SUM(D27:D30)</f>
        <v>107.52796225949402</v>
      </c>
      <c r="E31" s="86">
        <f>B27+C31+D31</f>
        <v>9825.357962259493</v>
      </c>
      <c r="F31" s="105"/>
      <c r="G31" s="86">
        <f>SUM(G27:G30)</f>
        <v>6897.739792279608</v>
      </c>
      <c r="H31" s="86">
        <f>SUM(H27:H30)</f>
        <v>1762.22</v>
      </c>
      <c r="I31" s="105">
        <f>SUM(I27:I30)</f>
        <v>3574.903854105238</v>
      </c>
      <c r="J31" s="86">
        <f>SUM(J27:J30)</f>
        <v>698.3821699798862</v>
      </c>
      <c r="K31" s="105">
        <f>SUM(K27:K30)</f>
        <v>7596.121962259494</v>
      </c>
      <c r="L31" s="105"/>
    </row>
    <row r="32" spans="1:12" ht="16.5">
      <c r="A32" s="102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4.25">
      <c r="A33" s="56" t="s">
        <v>151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>
      <c r="A34" s="56" t="s">
        <v>26</v>
      </c>
      <c r="B34" s="94">
        <f ca="1">NOW()</f>
        <v>43171.39808888889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B25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</row>
    <row r="2" spans="1:15" ht="14.25">
      <c r="A2" s="56"/>
      <c r="B2" s="150" t="s">
        <v>0</v>
      </c>
      <c r="C2" s="150"/>
      <c r="D2" s="150"/>
      <c r="E2" s="150"/>
      <c r="F2" s="106"/>
      <c r="G2" s="150" t="s">
        <v>24</v>
      </c>
      <c r="H2" s="150"/>
      <c r="I2" s="150"/>
      <c r="J2" s="150"/>
      <c r="K2" s="106"/>
      <c r="L2" s="56"/>
      <c r="M2" s="56"/>
      <c r="N2" s="56"/>
      <c r="O2" s="56"/>
    </row>
    <row r="3" spans="1:15" ht="14.25">
      <c r="A3" s="56" t="s">
        <v>86</v>
      </c>
      <c r="B3" s="60" t="s">
        <v>36</v>
      </c>
      <c r="C3" s="60"/>
      <c r="D3" s="60"/>
      <c r="E3" s="60"/>
      <c r="F3" s="107"/>
      <c r="G3" s="60"/>
      <c r="H3" s="60"/>
      <c r="I3" s="60"/>
      <c r="J3" s="60"/>
      <c r="K3" s="58" t="s">
        <v>34</v>
      </c>
      <c r="L3" s="56"/>
      <c r="M3" s="56"/>
      <c r="N3" s="56"/>
      <c r="O3" s="56"/>
    </row>
    <row r="4" spans="1:15" ht="14.25">
      <c r="A4" s="61" t="s">
        <v>88</v>
      </c>
      <c r="B4" s="63" t="s">
        <v>56</v>
      </c>
      <c r="C4" s="108" t="s">
        <v>1</v>
      </c>
      <c r="D4" s="65" t="s">
        <v>37</v>
      </c>
      <c r="E4" s="63" t="s">
        <v>98</v>
      </c>
      <c r="F4" s="64"/>
      <c r="G4" s="63" t="s">
        <v>40</v>
      </c>
      <c r="H4" s="63" t="s">
        <v>4</v>
      </c>
      <c r="I4" s="63" t="s">
        <v>41</v>
      </c>
      <c r="J4" s="63" t="s">
        <v>38</v>
      </c>
      <c r="K4" s="63" t="s">
        <v>33</v>
      </c>
      <c r="L4" s="56"/>
      <c r="M4" s="56"/>
      <c r="N4" s="56"/>
      <c r="O4" s="56"/>
    </row>
    <row r="5" spans="1:15" ht="14.25">
      <c r="A5" s="56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6"/>
      <c r="M5" s="56"/>
      <c r="N5" s="56"/>
      <c r="O5" s="56"/>
    </row>
    <row r="6" spans="1:15" ht="14.25">
      <c r="A6" s="56"/>
      <c r="B6" s="56"/>
      <c r="C6" s="56"/>
      <c r="D6" s="56"/>
      <c r="E6" s="56"/>
      <c r="F6" s="56"/>
      <c r="G6" s="103"/>
      <c r="H6" s="109"/>
      <c r="I6" s="103"/>
      <c r="J6" s="103"/>
      <c r="K6" s="56"/>
      <c r="L6" s="56"/>
      <c r="M6" s="56"/>
      <c r="N6" s="56"/>
      <c r="O6" s="56"/>
    </row>
    <row r="7" spans="1:15" ht="16.5">
      <c r="A7" s="56" t="s">
        <v>145</v>
      </c>
      <c r="B7" s="110">
        <v>437</v>
      </c>
      <c r="C7" s="110">
        <v>4043</v>
      </c>
      <c r="D7" s="111">
        <v>16.372</v>
      </c>
      <c r="E7" s="110">
        <f>+B7+C7+D7</f>
        <v>4496.372</v>
      </c>
      <c r="F7" s="71"/>
      <c r="G7" s="110">
        <v>1500</v>
      </c>
      <c r="H7" s="112">
        <v>136.113</v>
      </c>
      <c r="I7" s="110">
        <f>J7-G7-H7</f>
        <v>2469.2590000000005</v>
      </c>
      <c r="J7" s="110">
        <f>E7-K7</f>
        <v>4105.372</v>
      </c>
      <c r="K7" s="110">
        <v>391</v>
      </c>
      <c r="L7" s="56"/>
      <c r="M7" s="56"/>
      <c r="N7" s="56"/>
      <c r="O7" s="56"/>
    </row>
    <row r="8" spans="1:15" ht="16.5">
      <c r="A8" s="56" t="s">
        <v>146</v>
      </c>
      <c r="B8" s="110">
        <f>+K7</f>
        <v>391</v>
      </c>
      <c r="C8" s="110">
        <v>5369</v>
      </c>
      <c r="D8" s="111">
        <v>51.079</v>
      </c>
      <c r="E8" s="110">
        <f>+B8+C8+D8</f>
        <v>5811.079</v>
      </c>
      <c r="F8" s="71"/>
      <c r="G8" s="110">
        <v>1769.4399999999998</v>
      </c>
      <c r="H8" s="112">
        <v>341.655</v>
      </c>
      <c r="I8" s="110">
        <f>J8-G8-H8</f>
        <v>3299.9840000000004</v>
      </c>
      <c r="J8" s="110">
        <f>E8-K8</f>
        <v>5411.079</v>
      </c>
      <c r="K8" s="110">
        <v>400</v>
      </c>
      <c r="L8" s="56"/>
      <c r="M8" s="56"/>
      <c r="N8" s="56"/>
      <c r="O8" s="56"/>
    </row>
    <row r="9" spans="1:15" ht="16.5">
      <c r="A9" s="55" t="s">
        <v>147</v>
      </c>
      <c r="B9" s="113">
        <f>+K8</f>
        <v>400</v>
      </c>
      <c r="C9" s="113">
        <v>6725</v>
      </c>
      <c r="D9" s="114">
        <v>0</v>
      </c>
      <c r="E9" s="113">
        <f>+B9+C9+D9</f>
        <v>7125</v>
      </c>
      <c r="F9" s="115"/>
      <c r="G9" s="113">
        <v>1950</v>
      </c>
      <c r="H9" s="116">
        <v>450</v>
      </c>
      <c r="I9" s="113">
        <f>J9-G9-H9</f>
        <v>4300</v>
      </c>
      <c r="J9" s="113">
        <f>E9-K9</f>
        <v>6700</v>
      </c>
      <c r="K9" s="113">
        <v>425</v>
      </c>
      <c r="L9" s="56"/>
      <c r="M9" s="56"/>
      <c r="N9" s="56"/>
      <c r="O9" s="56"/>
    </row>
    <row r="10" spans="1:15" ht="16.5">
      <c r="A10" s="102" t="s">
        <v>153</v>
      </c>
      <c r="B10" s="56"/>
      <c r="C10" s="71"/>
      <c r="D10" s="71"/>
      <c r="E10" s="71"/>
      <c r="F10" s="71"/>
      <c r="G10" s="71"/>
      <c r="H10" s="71"/>
      <c r="I10" s="71"/>
      <c r="J10" s="71"/>
      <c r="K10" s="56"/>
      <c r="L10" s="56"/>
      <c r="M10" s="56"/>
      <c r="N10" s="56"/>
      <c r="O10" s="56"/>
    </row>
    <row r="11" spans="1:15" ht="14.25">
      <c r="A11" s="56" t="s">
        <v>154</v>
      </c>
      <c r="B11" s="72"/>
      <c r="C11" s="76"/>
      <c r="D11" s="56"/>
      <c r="E11" s="72"/>
      <c r="F11" s="72"/>
      <c r="G11" s="72"/>
      <c r="H11" s="72"/>
      <c r="I11" s="72"/>
      <c r="J11" s="72"/>
      <c r="K11" s="56"/>
      <c r="L11" s="56"/>
      <c r="M11" s="56"/>
      <c r="N11" s="56"/>
      <c r="O11" s="56"/>
    </row>
    <row r="12" spans="1:15" ht="14.25">
      <c r="A12" s="56" t="s">
        <v>155</v>
      </c>
      <c r="B12" s="72"/>
      <c r="C12" s="76"/>
      <c r="D12" s="56"/>
      <c r="E12" s="72"/>
      <c r="F12" s="72"/>
      <c r="G12" s="72"/>
      <c r="H12" s="72"/>
      <c r="I12" s="72"/>
      <c r="J12" s="72"/>
      <c r="K12" s="56"/>
      <c r="L12" s="56"/>
      <c r="M12" s="56"/>
      <c r="N12" s="56"/>
      <c r="O12" s="56"/>
    </row>
    <row r="13" spans="1:15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4.25">
      <c r="A14" s="55" t="s">
        <v>12</v>
      </c>
      <c r="B14" s="55"/>
      <c r="C14" s="55"/>
      <c r="D14" s="55"/>
      <c r="E14" s="55"/>
      <c r="F14" s="55"/>
      <c r="G14" s="55"/>
      <c r="H14" s="55"/>
      <c r="I14" s="56"/>
      <c r="J14" s="55"/>
      <c r="K14" s="56"/>
      <c r="L14" s="56"/>
      <c r="M14" s="56"/>
      <c r="N14" s="56"/>
      <c r="O14" s="56"/>
    </row>
    <row r="15" spans="1:15" ht="14.25">
      <c r="A15" s="56"/>
      <c r="B15" s="150" t="s">
        <v>0</v>
      </c>
      <c r="C15" s="150"/>
      <c r="D15" s="150"/>
      <c r="E15" s="150"/>
      <c r="F15" s="56"/>
      <c r="G15" s="150" t="s">
        <v>24</v>
      </c>
      <c r="H15" s="150"/>
      <c r="I15" s="150"/>
      <c r="J15" s="56"/>
      <c r="K15" s="56"/>
      <c r="L15" s="56"/>
      <c r="M15" s="56"/>
      <c r="N15" s="56"/>
      <c r="O15" s="56"/>
    </row>
    <row r="16" spans="1:15" ht="14.25">
      <c r="A16" s="56" t="s">
        <v>86</v>
      </c>
      <c r="B16" s="58" t="s">
        <v>36</v>
      </c>
      <c r="C16" s="60"/>
      <c r="D16" s="60"/>
      <c r="E16" s="60"/>
      <c r="F16" s="60"/>
      <c r="G16" s="60"/>
      <c r="H16" s="60"/>
      <c r="I16" s="60"/>
      <c r="J16" s="58" t="s">
        <v>34</v>
      </c>
      <c r="K16" s="56"/>
      <c r="L16" s="56"/>
      <c r="M16" s="56"/>
      <c r="N16" s="56"/>
      <c r="O16" s="56"/>
    </row>
    <row r="17" spans="1:15" ht="14.25">
      <c r="A17" s="61" t="s">
        <v>87</v>
      </c>
      <c r="B17" s="63" t="s">
        <v>33</v>
      </c>
      <c r="C17" s="108" t="s">
        <v>1</v>
      </c>
      <c r="D17" s="65" t="s">
        <v>37</v>
      </c>
      <c r="E17" s="63" t="s">
        <v>38</v>
      </c>
      <c r="F17" s="64"/>
      <c r="G17" s="117" t="s">
        <v>9</v>
      </c>
      <c r="H17" s="63" t="s">
        <v>4</v>
      </c>
      <c r="I17" s="65" t="s">
        <v>32</v>
      </c>
      <c r="J17" s="63" t="s">
        <v>33</v>
      </c>
      <c r="K17" s="56"/>
      <c r="L17" s="56"/>
      <c r="M17" s="56"/>
      <c r="N17" s="56"/>
      <c r="O17" s="56"/>
    </row>
    <row r="18" spans="1:15" ht="14.25">
      <c r="A18" s="56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6"/>
      <c r="L18" s="56"/>
      <c r="M18" s="56"/>
      <c r="N18" s="56"/>
      <c r="O18" s="56"/>
    </row>
    <row r="19" spans="1:15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6.5">
      <c r="A20" s="56" t="s">
        <v>145</v>
      </c>
      <c r="B20" s="110">
        <v>42.316</v>
      </c>
      <c r="C20" s="112">
        <v>705</v>
      </c>
      <c r="D20" s="111">
        <v>0</v>
      </c>
      <c r="E20" s="112">
        <f>+B20+D20+C20</f>
        <v>747.316</v>
      </c>
      <c r="F20" s="56"/>
      <c r="G20" s="112">
        <f>+I20-H20</f>
        <v>637.924941473795</v>
      </c>
      <c r="H20" s="112">
        <v>89.71505852620501</v>
      </c>
      <c r="I20" s="112">
        <f>+E20-J20</f>
        <v>727.64</v>
      </c>
      <c r="J20" s="110">
        <v>19.676</v>
      </c>
      <c r="K20" s="56"/>
      <c r="L20" s="56"/>
      <c r="M20" s="56"/>
      <c r="N20" s="56"/>
      <c r="O20" s="56"/>
    </row>
    <row r="21" spans="1:15" ht="16.5">
      <c r="A21" s="56" t="s">
        <v>146</v>
      </c>
      <c r="B21" s="110">
        <f>+J20</f>
        <v>19.676</v>
      </c>
      <c r="C21" s="112">
        <v>805.2929999999999</v>
      </c>
      <c r="D21" s="111">
        <v>0</v>
      </c>
      <c r="E21" s="112">
        <f>+B21+D21+C21</f>
        <v>824.9689999999999</v>
      </c>
      <c r="F21" s="56"/>
      <c r="G21" s="112">
        <f>+I21-H21</f>
        <v>687.0128503574739</v>
      </c>
      <c r="H21" s="112">
        <v>110.22014964252601</v>
      </c>
      <c r="I21" s="112">
        <f>+E21-J21</f>
        <v>797.233</v>
      </c>
      <c r="J21" s="110">
        <v>27.736</v>
      </c>
      <c r="K21" s="56"/>
      <c r="L21" s="56"/>
      <c r="M21" s="56"/>
      <c r="N21" s="56"/>
      <c r="O21" s="56"/>
    </row>
    <row r="22" spans="1:15" ht="16.5">
      <c r="A22" s="55" t="s">
        <v>147</v>
      </c>
      <c r="B22" s="113">
        <f>+J21</f>
        <v>27.736</v>
      </c>
      <c r="C22" s="116">
        <v>880</v>
      </c>
      <c r="D22" s="114">
        <v>0</v>
      </c>
      <c r="E22" s="116">
        <f>+B22+D22+C22</f>
        <v>907.736</v>
      </c>
      <c r="F22" s="115"/>
      <c r="G22" s="116">
        <f>+I22-H22</f>
        <v>777.736</v>
      </c>
      <c r="H22" s="116">
        <v>90</v>
      </c>
      <c r="I22" s="116">
        <f>+E22-J22</f>
        <v>867.736</v>
      </c>
      <c r="J22" s="113">
        <v>40</v>
      </c>
      <c r="K22" s="56"/>
      <c r="L22" s="56"/>
      <c r="M22" s="56"/>
      <c r="N22" s="56"/>
      <c r="O22" s="56"/>
    </row>
    <row r="23" spans="1:15" ht="16.5">
      <c r="A23" s="102" t="s">
        <v>153</v>
      </c>
      <c r="B23" s="56"/>
      <c r="C23" s="71"/>
      <c r="D23" s="7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</row>
    <row r="24" spans="1:15" ht="14.25">
      <c r="A24" s="56" t="s">
        <v>156</v>
      </c>
      <c r="B24" s="118"/>
      <c r="C24" s="118"/>
      <c r="D24" s="118"/>
      <c r="E24" s="118"/>
      <c r="F24" s="118"/>
      <c r="G24" s="118"/>
      <c r="H24" s="118"/>
      <c r="I24" s="56"/>
      <c r="J24" s="56"/>
      <c r="K24" s="56"/>
      <c r="L24" s="56"/>
      <c r="M24" s="56"/>
      <c r="N24" s="56"/>
      <c r="O24" s="56"/>
    </row>
    <row r="25" spans="1:15" ht="14.25">
      <c r="A25" s="59"/>
      <c r="B25" s="72"/>
      <c r="C25" s="72"/>
      <c r="D25" s="72"/>
      <c r="E25" s="72"/>
      <c r="F25" s="72"/>
      <c r="G25" s="72"/>
      <c r="H25" s="72"/>
      <c r="I25" s="56"/>
      <c r="J25" s="56"/>
      <c r="K25" s="56"/>
      <c r="L25" s="56"/>
      <c r="M25" s="56"/>
      <c r="N25" s="56"/>
      <c r="O25" s="56"/>
    </row>
    <row r="26" spans="1:15" ht="14.25">
      <c r="A26" s="59"/>
      <c r="B26" s="72"/>
      <c r="C26" s="76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</row>
    <row r="27" spans="1:15" ht="14.25">
      <c r="A27" s="55" t="s">
        <v>13</v>
      </c>
      <c r="B27" s="55"/>
      <c r="C27" s="55"/>
      <c r="D27" s="55"/>
      <c r="E27" s="55"/>
      <c r="F27" s="55"/>
      <c r="G27" s="55"/>
      <c r="H27" s="55"/>
      <c r="I27" s="56"/>
      <c r="J27" s="55"/>
      <c r="K27" s="56"/>
      <c r="L27" s="56"/>
      <c r="M27" s="56"/>
      <c r="N27" s="56"/>
      <c r="O27" s="56"/>
    </row>
    <row r="28" spans="1:15" ht="14.25">
      <c r="A28" s="56"/>
      <c r="B28" s="150" t="s">
        <v>0</v>
      </c>
      <c r="C28" s="150"/>
      <c r="D28" s="150"/>
      <c r="E28" s="150"/>
      <c r="F28" s="56"/>
      <c r="G28" s="150" t="s">
        <v>24</v>
      </c>
      <c r="H28" s="150"/>
      <c r="I28" s="150"/>
      <c r="J28" s="56"/>
      <c r="K28" s="56"/>
      <c r="L28" s="56"/>
      <c r="M28" s="56"/>
      <c r="N28" s="56"/>
      <c r="O28" s="56"/>
    </row>
    <row r="29" spans="1:15" ht="14.25">
      <c r="A29" s="56" t="s">
        <v>86</v>
      </c>
      <c r="B29" s="58" t="s">
        <v>36</v>
      </c>
      <c r="C29" s="60"/>
      <c r="D29" s="60"/>
      <c r="E29" s="60"/>
      <c r="F29" s="60"/>
      <c r="G29" s="60"/>
      <c r="H29" s="60"/>
      <c r="I29" s="60"/>
      <c r="J29" s="58" t="s">
        <v>34</v>
      </c>
      <c r="K29" s="56"/>
      <c r="L29" s="56"/>
      <c r="M29" s="56"/>
      <c r="N29" s="56"/>
      <c r="O29" s="56"/>
    </row>
    <row r="30" spans="1:15" ht="14.25">
      <c r="A30" s="61" t="s">
        <v>87</v>
      </c>
      <c r="B30" s="63" t="s">
        <v>33</v>
      </c>
      <c r="C30" s="63" t="s">
        <v>1</v>
      </c>
      <c r="D30" s="65" t="s">
        <v>37</v>
      </c>
      <c r="E30" s="63" t="s">
        <v>38</v>
      </c>
      <c r="F30" s="64"/>
      <c r="G30" s="63" t="s">
        <v>35</v>
      </c>
      <c r="H30" s="63" t="s">
        <v>4</v>
      </c>
      <c r="I30" s="63" t="s">
        <v>32</v>
      </c>
      <c r="J30" s="63" t="s">
        <v>99</v>
      </c>
      <c r="K30" s="56"/>
      <c r="L30" s="56"/>
      <c r="M30" s="56"/>
      <c r="N30" s="56"/>
      <c r="O30" s="56"/>
    </row>
    <row r="31" spans="1:15" ht="14.25">
      <c r="A31" s="56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6"/>
      <c r="L31" s="56"/>
      <c r="M31" s="56"/>
      <c r="N31" s="56"/>
      <c r="O31" s="56"/>
    </row>
    <row r="32" spans="1:15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6.5">
      <c r="A33" s="56" t="s">
        <v>145</v>
      </c>
      <c r="B33" s="111">
        <v>58</v>
      </c>
      <c r="C33" s="112">
        <v>465</v>
      </c>
      <c r="D33" s="111">
        <v>6.616070622</v>
      </c>
      <c r="E33" s="119">
        <f>+B33+D33+C33</f>
        <v>529.616070622</v>
      </c>
      <c r="F33" s="56"/>
      <c r="G33" s="112">
        <f>+I33-H33</f>
        <v>433.243070622</v>
      </c>
      <c r="H33" s="112">
        <v>54.826</v>
      </c>
      <c r="I33" s="112">
        <f>+E33-J33</f>
        <v>488.069070622</v>
      </c>
      <c r="J33" s="120">
        <v>41.547</v>
      </c>
      <c r="K33" s="56"/>
      <c r="L33" s="56"/>
      <c r="M33" s="56"/>
      <c r="N33" s="56"/>
      <c r="O33" s="56"/>
    </row>
    <row r="34" spans="1:15" ht="16.5">
      <c r="A34" s="56" t="s">
        <v>146</v>
      </c>
      <c r="B34" s="111">
        <f>+J33</f>
        <v>41.547</v>
      </c>
      <c r="C34" s="112">
        <v>541.625</v>
      </c>
      <c r="D34" s="111">
        <v>0.121953075174</v>
      </c>
      <c r="E34" s="119">
        <f>+B34+D34+C34</f>
        <v>583.293953075174</v>
      </c>
      <c r="F34" s="56"/>
      <c r="G34" s="112">
        <f>+I34-H34</f>
        <v>435.17942153772003</v>
      </c>
      <c r="H34" s="112">
        <v>103.98553153745401</v>
      </c>
      <c r="I34" s="112">
        <f>+E34-J34</f>
        <v>539.164953075174</v>
      </c>
      <c r="J34" s="120">
        <v>44.129</v>
      </c>
      <c r="K34" s="56"/>
      <c r="L34" s="56"/>
      <c r="M34" s="56"/>
      <c r="N34" s="56"/>
      <c r="O34" s="56"/>
    </row>
    <row r="35" spans="1:15" ht="16.5">
      <c r="A35" s="55" t="s">
        <v>147</v>
      </c>
      <c r="B35" s="114">
        <f>+J34</f>
        <v>44.129</v>
      </c>
      <c r="C35" s="116">
        <v>595</v>
      </c>
      <c r="D35" s="114">
        <v>5</v>
      </c>
      <c r="E35" s="121">
        <f>+B35+D35+C35</f>
        <v>644.129</v>
      </c>
      <c r="F35" s="115"/>
      <c r="G35" s="116">
        <f>+I35-H35</f>
        <v>504.129</v>
      </c>
      <c r="H35" s="116">
        <v>90</v>
      </c>
      <c r="I35" s="116">
        <f>+E35-J35</f>
        <v>594.129</v>
      </c>
      <c r="J35" s="116">
        <v>50</v>
      </c>
      <c r="K35" s="56"/>
      <c r="L35" s="56"/>
      <c r="M35" s="56"/>
      <c r="N35" s="56"/>
      <c r="O35" s="56"/>
    </row>
    <row r="36" spans="1:15" ht="16.5">
      <c r="A36" s="102" t="s">
        <v>153</v>
      </c>
      <c r="B36" s="56"/>
      <c r="C36" s="71"/>
      <c r="D36" s="71"/>
      <c r="E36" s="71"/>
      <c r="F36" s="71"/>
      <c r="G36" s="71"/>
      <c r="H36" s="71"/>
      <c r="I36" s="56"/>
      <c r="J36" s="56"/>
      <c r="K36" s="56"/>
      <c r="L36" s="56"/>
      <c r="M36" s="56"/>
      <c r="N36" s="56"/>
      <c r="O36" s="56"/>
    </row>
    <row r="37" spans="1:15" ht="14.25">
      <c r="A37" s="56" t="s">
        <v>157</v>
      </c>
      <c r="B37" s="72"/>
      <c r="C37" s="76"/>
      <c r="D37" s="72"/>
      <c r="E37" s="72"/>
      <c r="F37" s="72"/>
      <c r="G37" s="72"/>
      <c r="H37" s="72"/>
      <c r="I37" s="56"/>
      <c r="J37" s="56"/>
      <c r="K37" s="56"/>
      <c r="L37" s="56"/>
      <c r="M37" s="56"/>
      <c r="N37" s="56"/>
      <c r="O37" s="56"/>
    </row>
    <row r="38" spans="1:15" ht="14.25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</row>
    <row r="39" spans="1:15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4.25">
      <c r="A40" s="55" t="s">
        <v>14</v>
      </c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5"/>
    </row>
    <row r="41" spans="1:15" ht="14.25">
      <c r="A41" s="56"/>
      <c r="B41" s="150" t="s">
        <v>27</v>
      </c>
      <c r="C41" s="150"/>
      <c r="D41" s="58" t="s">
        <v>30</v>
      </c>
      <c r="E41" s="150" t="s">
        <v>94</v>
      </c>
      <c r="F41" s="150"/>
      <c r="G41" s="150"/>
      <c r="H41" s="150"/>
      <c r="I41" s="56"/>
      <c r="J41" s="150" t="s">
        <v>24</v>
      </c>
      <c r="K41" s="150"/>
      <c r="L41" s="150"/>
      <c r="M41" s="150"/>
      <c r="N41" s="150"/>
      <c r="O41" s="56"/>
    </row>
    <row r="42" spans="1:15" ht="14.25">
      <c r="A42" s="56" t="s">
        <v>86</v>
      </c>
      <c r="B42" s="58" t="s">
        <v>28</v>
      </c>
      <c r="C42" s="58" t="s">
        <v>29</v>
      </c>
      <c r="D42" s="56"/>
      <c r="E42" s="58" t="s">
        <v>36</v>
      </c>
      <c r="F42" s="58"/>
      <c r="G42" s="58"/>
      <c r="H42" s="58"/>
      <c r="I42" s="56"/>
      <c r="J42" s="58" t="s">
        <v>9</v>
      </c>
      <c r="K42" s="58"/>
      <c r="L42" s="58" t="s">
        <v>102</v>
      </c>
      <c r="M42" s="58"/>
      <c r="N42" s="58"/>
      <c r="O42" s="58" t="s">
        <v>34</v>
      </c>
    </row>
    <row r="43" spans="1:15" ht="14.25">
      <c r="A43" s="61" t="s">
        <v>88</v>
      </c>
      <c r="B43" s="62"/>
      <c r="C43" s="62"/>
      <c r="D43" s="62"/>
      <c r="E43" s="63" t="s">
        <v>33</v>
      </c>
      <c r="F43" s="63" t="s">
        <v>1</v>
      </c>
      <c r="G43" s="63" t="s">
        <v>37</v>
      </c>
      <c r="H43" s="63" t="s">
        <v>38</v>
      </c>
      <c r="I43" s="63"/>
      <c r="J43" s="63" t="s">
        <v>42</v>
      </c>
      <c r="K43" s="63" t="s">
        <v>40</v>
      </c>
      <c r="L43" s="63" t="s">
        <v>5</v>
      </c>
      <c r="M43" s="65" t="s">
        <v>4</v>
      </c>
      <c r="N43" s="63" t="s">
        <v>32</v>
      </c>
      <c r="O43" s="63" t="s">
        <v>99</v>
      </c>
    </row>
    <row r="44" spans="1:15" ht="14.25">
      <c r="A44" s="56"/>
      <c r="B44" s="148" t="s">
        <v>96</v>
      </c>
      <c r="C44" s="149"/>
      <c r="D44" s="122" t="s">
        <v>81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6"/>
      <c r="B45" s="58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6.5">
      <c r="A46" s="56" t="s">
        <v>145</v>
      </c>
      <c r="B46" s="110">
        <v>1625</v>
      </c>
      <c r="C46" s="110">
        <v>1560.9</v>
      </c>
      <c r="D46" s="110">
        <f>F46*1000/C46</f>
        <v>3844.8055608943555</v>
      </c>
      <c r="E46" s="110">
        <v>2101.017</v>
      </c>
      <c r="F46" s="110">
        <v>6001.357</v>
      </c>
      <c r="G46" s="120">
        <f>1.333*2.204622*32.0801</f>
        <v>94.2757507981926</v>
      </c>
      <c r="H46" s="110">
        <f>+E46+G46+F46</f>
        <v>8196.649750798193</v>
      </c>
      <c r="I46" s="110"/>
      <c r="J46" s="110">
        <v>3053</v>
      </c>
      <c r="K46" s="110">
        <f>1.333*531.77</f>
        <v>708.8494099999999</v>
      </c>
      <c r="L46" s="112">
        <f>+N46-J46-K46-M46</f>
        <v>1099.5958407981934</v>
      </c>
      <c r="M46" s="112">
        <v>1544.2995</v>
      </c>
      <c r="N46" s="110">
        <f>+H46-O46</f>
        <v>6405.744750798193</v>
      </c>
      <c r="O46" s="110">
        <v>1790.905</v>
      </c>
    </row>
    <row r="47" spans="1:15" ht="16.5">
      <c r="A47" s="56" t="s">
        <v>146</v>
      </c>
      <c r="B47" s="110">
        <v>1671</v>
      </c>
      <c r="C47" s="110">
        <v>1536</v>
      </c>
      <c r="D47" s="110">
        <f>F47*1000/C47</f>
        <v>3633.8346354166665</v>
      </c>
      <c r="E47" s="110">
        <f>O46</f>
        <v>1790.905</v>
      </c>
      <c r="F47" s="110">
        <v>5581.57</v>
      </c>
      <c r="G47" s="120">
        <f>1.333*2.204622*55.0974</f>
        <v>161.91809726367242</v>
      </c>
      <c r="H47" s="110">
        <f>+E47+G47+F47</f>
        <v>7534.393097263672</v>
      </c>
      <c r="I47" s="110"/>
      <c r="J47" s="110">
        <v>3092</v>
      </c>
      <c r="K47" s="110">
        <f>1.333*659.966</f>
        <v>879.734678</v>
      </c>
      <c r="L47" s="112">
        <f>+N47-J47-K47-M47</f>
        <v>793.6284192636713</v>
      </c>
      <c r="M47" s="112">
        <v>1327.438</v>
      </c>
      <c r="N47" s="110">
        <f>+H47-O47</f>
        <v>6092.801097263671</v>
      </c>
      <c r="O47" s="110">
        <v>1441.592</v>
      </c>
    </row>
    <row r="48" spans="1:15" ht="16.5">
      <c r="A48" s="55" t="s">
        <v>147</v>
      </c>
      <c r="B48" s="113">
        <v>1870.6</v>
      </c>
      <c r="C48" s="113">
        <v>1775.6</v>
      </c>
      <c r="D48" s="113">
        <f>F48*1000/C48</f>
        <v>4073.8905158819557</v>
      </c>
      <c r="E48" s="113">
        <f>O47</f>
        <v>1441.592</v>
      </c>
      <c r="F48" s="113">
        <v>7233.6</v>
      </c>
      <c r="G48" s="116">
        <v>125</v>
      </c>
      <c r="H48" s="113">
        <f>+E48+G48+F48</f>
        <v>8800.192000000001</v>
      </c>
      <c r="I48" s="113"/>
      <c r="J48" s="113">
        <v>3172</v>
      </c>
      <c r="K48" s="113">
        <v>800</v>
      </c>
      <c r="L48" s="116">
        <f>+N48-J48-K48-M48</f>
        <v>888.1920000000009</v>
      </c>
      <c r="M48" s="116">
        <v>1400</v>
      </c>
      <c r="N48" s="113">
        <f>+H48-O48</f>
        <v>6260.192000000001</v>
      </c>
      <c r="O48" s="113">
        <v>2540</v>
      </c>
    </row>
    <row r="49" spans="1:15" ht="16.5">
      <c r="A49" s="102" t="s">
        <v>153</v>
      </c>
      <c r="B49" s="56"/>
      <c r="C49" s="71"/>
      <c r="D49" s="71"/>
      <c r="E49" s="71"/>
      <c r="F49" s="71"/>
      <c r="G49" s="71"/>
      <c r="H49" s="71"/>
      <c r="I49" s="56"/>
      <c r="J49" s="56"/>
      <c r="K49" s="56"/>
      <c r="L49" s="56"/>
      <c r="M49" s="56"/>
      <c r="N49" s="56"/>
      <c r="O49" s="56"/>
    </row>
    <row r="50" spans="1:15" ht="14.25">
      <c r="A50" s="56" t="s">
        <v>158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4.25">
      <c r="A51" s="56" t="s">
        <v>155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4.25">
      <c r="A52" s="56" t="s">
        <v>26</v>
      </c>
      <c r="B52" s="123">
        <f ca="1">NOW()</f>
        <v>43171.39808888889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5" t="s">
        <v>52</v>
      </c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11" ht="15" customHeight="1">
      <c r="A2" s="59" t="s">
        <v>15</v>
      </c>
      <c r="B2" s="103" t="s">
        <v>159</v>
      </c>
      <c r="C2" s="103" t="s">
        <v>160</v>
      </c>
      <c r="D2" s="103" t="s">
        <v>161</v>
      </c>
      <c r="E2" s="103" t="s">
        <v>162</v>
      </c>
      <c r="F2" s="103" t="s">
        <v>163</v>
      </c>
      <c r="G2" s="103" t="s">
        <v>164</v>
      </c>
      <c r="H2" s="1"/>
      <c r="I2" s="1"/>
      <c r="J2" s="1"/>
      <c r="K2" s="1"/>
    </row>
    <row r="3" spans="1:11" ht="15" customHeight="1">
      <c r="A3" s="55" t="s">
        <v>16</v>
      </c>
      <c r="B3" s="64"/>
      <c r="C3" s="124"/>
      <c r="D3" s="124"/>
      <c r="E3" s="124"/>
      <c r="F3" s="124"/>
      <c r="G3" s="124"/>
      <c r="H3" s="1"/>
      <c r="I3" s="1"/>
      <c r="J3" s="1"/>
      <c r="K3" s="2"/>
    </row>
    <row r="4" spans="1:11" ht="14.25">
      <c r="A4" s="125"/>
      <c r="B4" s="126" t="s">
        <v>79</v>
      </c>
      <c r="C4" s="126" t="s">
        <v>89</v>
      </c>
      <c r="D4" s="126" t="s">
        <v>110</v>
      </c>
      <c r="E4" s="126" t="s">
        <v>50</v>
      </c>
      <c r="F4" s="126" t="s">
        <v>78</v>
      </c>
      <c r="G4" s="126" t="s">
        <v>79</v>
      </c>
      <c r="H4" s="1"/>
      <c r="I4" s="2"/>
      <c r="J4" s="2"/>
      <c r="K4" s="2"/>
    </row>
    <row r="5" spans="1:11" ht="14.25">
      <c r="A5" s="56"/>
      <c r="B5" s="56"/>
      <c r="C5" s="56"/>
      <c r="D5" s="58"/>
      <c r="E5" s="56"/>
      <c r="F5" s="56"/>
      <c r="G5" s="56"/>
      <c r="H5" s="1"/>
      <c r="I5" s="1"/>
      <c r="J5" s="1"/>
      <c r="K5" s="1"/>
    </row>
    <row r="6" spans="1:11" ht="14.25">
      <c r="A6" s="56" t="s">
        <v>54</v>
      </c>
      <c r="B6" s="127">
        <v>10.1</v>
      </c>
      <c r="C6" s="127">
        <v>162</v>
      </c>
      <c r="D6" s="127">
        <v>21.7</v>
      </c>
      <c r="E6" s="127">
        <v>18.3</v>
      </c>
      <c r="F6" s="127">
        <v>20.5</v>
      </c>
      <c r="G6" s="127">
        <v>13</v>
      </c>
      <c r="H6" s="1"/>
      <c r="I6" s="3"/>
      <c r="J6" s="3"/>
      <c r="K6" s="3"/>
    </row>
    <row r="7" spans="1:11" ht="14.25">
      <c r="A7" s="56" t="s">
        <v>55</v>
      </c>
      <c r="B7" s="127">
        <v>9.97</v>
      </c>
      <c r="C7" s="127">
        <v>223</v>
      </c>
      <c r="D7" s="127">
        <v>21.8</v>
      </c>
      <c r="E7" s="127">
        <v>18.7</v>
      </c>
      <c r="F7" s="127">
        <v>23</v>
      </c>
      <c r="G7" s="127">
        <v>12.7</v>
      </c>
      <c r="H7" s="1"/>
      <c r="I7" s="3"/>
      <c r="J7" s="3"/>
      <c r="K7" s="3"/>
    </row>
    <row r="8" spans="1:11" ht="14.25">
      <c r="A8" s="56" t="s">
        <v>57</v>
      </c>
      <c r="B8" s="127">
        <v>9.59</v>
      </c>
      <c r="C8" s="127">
        <v>158</v>
      </c>
      <c r="D8" s="127">
        <v>15.1</v>
      </c>
      <c r="E8" s="127">
        <v>16.2</v>
      </c>
      <c r="F8" s="127">
        <v>21.7</v>
      </c>
      <c r="G8" s="127">
        <v>8.15</v>
      </c>
      <c r="H8" s="1"/>
      <c r="I8" s="3"/>
      <c r="J8" s="3"/>
      <c r="K8" s="3"/>
    </row>
    <row r="9" spans="1:11" ht="14.25">
      <c r="A9" s="56" t="s">
        <v>58</v>
      </c>
      <c r="B9" s="127">
        <v>11.3</v>
      </c>
      <c r="C9" s="127">
        <v>161</v>
      </c>
      <c r="D9" s="127">
        <v>23.3</v>
      </c>
      <c r="E9" s="127">
        <v>19.3</v>
      </c>
      <c r="F9" s="127">
        <v>22.5</v>
      </c>
      <c r="G9" s="127">
        <v>12.2</v>
      </c>
      <c r="H9" s="1"/>
      <c r="I9" s="3"/>
      <c r="J9" s="3"/>
      <c r="K9" s="3"/>
    </row>
    <row r="10" spans="1:11" ht="14.25">
      <c r="A10" s="56" t="s">
        <v>69</v>
      </c>
      <c r="B10" s="127">
        <v>12.5</v>
      </c>
      <c r="C10" s="127">
        <v>260</v>
      </c>
      <c r="D10" s="127">
        <v>29.1</v>
      </c>
      <c r="E10" s="127">
        <v>24</v>
      </c>
      <c r="F10" s="127">
        <v>31.8</v>
      </c>
      <c r="G10" s="127">
        <v>13.9</v>
      </c>
      <c r="H10" s="1"/>
      <c r="I10" s="3"/>
      <c r="J10" s="3"/>
      <c r="K10" s="3"/>
    </row>
    <row r="11" spans="1:11" ht="14.25">
      <c r="A11" s="56" t="s">
        <v>93</v>
      </c>
      <c r="B11" s="127">
        <v>14.4</v>
      </c>
      <c r="C11" s="127">
        <v>252</v>
      </c>
      <c r="D11" s="127">
        <v>25.4</v>
      </c>
      <c r="E11" s="127">
        <v>26.5</v>
      </c>
      <c r="F11" s="127">
        <v>30.1</v>
      </c>
      <c r="G11" s="127">
        <v>13.8</v>
      </c>
      <c r="H11" s="1"/>
      <c r="I11" s="3"/>
      <c r="J11" s="3"/>
      <c r="K11" s="3"/>
    </row>
    <row r="12" spans="1:11" ht="14.25">
      <c r="A12" s="56" t="s">
        <v>101</v>
      </c>
      <c r="B12" s="127">
        <v>13</v>
      </c>
      <c r="C12" s="127">
        <v>246</v>
      </c>
      <c r="D12" s="127">
        <v>21.4</v>
      </c>
      <c r="E12" s="127">
        <v>20.6</v>
      </c>
      <c r="F12" s="127">
        <v>24.9</v>
      </c>
      <c r="G12" s="127">
        <v>13.8</v>
      </c>
      <c r="H12" s="1"/>
      <c r="I12" s="3"/>
      <c r="J12" s="3"/>
      <c r="K12" s="3"/>
    </row>
    <row r="13" spans="1:11" ht="14.25">
      <c r="A13" s="56" t="s">
        <v>104</v>
      </c>
      <c r="B13" s="127">
        <v>10.1</v>
      </c>
      <c r="C13" s="127">
        <v>194</v>
      </c>
      <c r="D13" s="127">
        <v>21.7</v>
      </c>
      <c r="E13" s="127">
        <v>16.9</v>
      </c>
      <c r="F13" s="127">
        <v>22</v>
      </c>
      <c r="G13" s="127">
        <v>11.8</v>
      </c>
      <c r="H13" s="1"/>
      <c r="I13" s="3"/>
      <c r="J13" s="3"/>
      <c r="K13" s="3"/>
    </row>
    <row r="14" spans="1:11" ht="14.25">
      <c r="A14" s="56" t="s">
        <v>105</v>
      </c>
      <c r="B14" s="127">
        <v>8.95</v>
      </c>
      <c r="C14" s="127">
        <v>227</v>
      </c>
      <c r="D14" s="127">
        <v>19.6</v>
      </c>
      <c r="E14" s="127">
        <v>15.6</v>
      </c>
      <c r="F14" s="127">
        <v>19.3</v>
      </c>
      <c r="G14" s="127">
        <v>8.95</v>
      </c>
      <c r="H14" s="1"/>
      <c r="I14" s="3"/>
      <c r="J14" s="3"/>
      <c r="K14" s="3"/>
    </row>
    <row r="15" spans="1:11" ht="16.5">
      <c r="A15" s="56" t="s">
        <v>146</v>
      </c>
      <c r="B15" s="127">
        <v>9.47</v>
      </c>
      <c r="C15" s="127">
        <v>195</v>
      </c>
      <c r="D15" s="127">
        <v>17.4</v>
      </c>
      <c r="E15" s="127">
        <v>16.6</v>
      </c>
      <c r="F15" s="127">
        <v>19.7</v>
      </c>
      <c r="G15" s="127">
        <v>8</v>
      </c>
      <c r="H15" s="1"/>
      <c r="I15" s="3"/>
      <c r="J15" s="3"/>
      <c r="K15" s="3"/>
    </row>
    <row r="16" spans="1:11" ht="16.5">
      <c r="A16" s="56" t="s">
        <v>165</v>
      </c>
      <c r="B16" s="128" t="s">
        <v>195</v>
      </c>
      <c r="C16" s="127" t="s">
        <v>138</v>
      </c>
      <c r="D16" s="128" t="s">
        <v>196</v>
      </c>
      <c r="E16" s="128" t="s">
        <v>196</v>
      </c>
      <c r="F16" s="128" t="s">
        <v>197</v>
      </c>
      <c r="G16" s="128" t="s">
        <v>195</v>
      </c>
      <c r="H16" s="1"/>
      <c r="I16" s="3"/>
      <c r="J16" s="3"/>
      <c r="K16" s="3"/>
    </row>
    <row r="17" spans="1:11" ht="14.25">
      <c r="A17" s="59"/>
      <c r="B17" s="129"/>
      <c r="C17" s="130"/>
      <c r="D17" s="131"/>
      <c r="E17" s="128"/>
      <c r="F17" s="128"/>
      <c r="G17" s="132"/>
      <c r="H17" s="3"/>
      <c r="I17" s="3"/>
      <c r="J17" s="3"/>
      <c r="K17" s="3"/>
    </row>
    <row r="18" spans="1:8" ht="14.25">
      <c r="A18" s="83" t="s">
        <v>123</v>
      </c>
      <c r="B18" s="127"/>
      <c r="C18" s="127"/>
      <c r="D18" s="127"/>
      <c r="E18" s="127"/>
      <c r="F18" s="127"/>
      <c r="G18" s="127"/>
      <c r="H18" s="1"/>
    </row>
    <row r="19" spans="1:8" ht="14.25">
      <c r="A19" s="56" t="s">
        <v>73</v>
      </c>
      <c r="B19" s="127">
        <v>9.41</v>
      </c>
      <c r="C19" s="127">
        <v>180</v>
      </c>
      <c r="D19" s="127">
        <v>17.9</v>
      </c>
      <c r="E19" s="127">
        <v>15.5</v>
      </c>
      <c r="F19" s="127">
        <v>19.1</v>
      </c>
      <c r="G19" s="127">
        <v>7.61</v>
      </c>
      <c r="H19" s="1"/>
    </row>
    <row r="20" spans="1:8" ht="14.25">
      <c r="A20" s="56" t="s">
        <v>60</v>
      </c>
      <c r="B20" s="127">
        <v>9.3</v>
      </c>
      <c r="C20" s="127">
        <v>197</v>
      </c>
      <c r="D20" s="127">
        <v>17</v>
      </c>
      <c r="E20" s="127">
        <v>15.8</v>
      </c>
      <c r="F20" s="127">
        <v>19.5</v>
      </c>
      <c r="G20" s="127">
        <v>7.37</v>
      </c>
      <c r="H20" s="1"/>
    </row>
    <row r="21" spans="1:8" ht="14.25">
      <c r="A21" s="56" t="s">
        <v>61</v>
      </c>
      <c r="B21" s="127">
        <v>9.47</v>
      </c>
      <c r="C21" s="127">
        <v>195</v>
      </c>
      <c r="D21" s="127">
        <v>16.4</v>
      </c>
      <c r="E21" s="127">
        <v>16.2</v>
      </c>
      <c r="F21" s="127">
        <v>19</v>
      </c>
      <c r="G21" s="127">
        <v>7.36</v>
      </c>
      <c r="H21" s="1"/>
    </row>
    <row r="22" spans="1:8" ht="14.25">
      <c r="A22" s="56" t="s">
        <v>62</v>
      </c>
      <c r="B22" s="127">
        <v>9.64</v>
      </c>
      <c r="C22" s="127">
        <v>196</v>
      </c>
      <c r="D22" s="127">
        <v>17.2</v>
      </c>
      <c r="E22" s="127">
        <v>17.1</v>
      </c>
      <c r="F22" s="127">
        <v>18.6</v>
      </c>
      <c r="G22" s="127">
        <v>7.59</v>
      </c>
      <c r="H22" s="1"/>
    </row>
    <row r="23" spans="1:8" ht="14.25">
      <c r="A23" s="56" t="s">
        <v>63</v>
      </c>
      <c r="B23" s="127">
        <v>9.71</v>
      </c>
      <c r="C23" s="127">
        <v>199</v>
      </c>
      <c r="D23" s="127">
        <v>17.2</v>
      </c>
      <c r="E23" s="127">
        <v>17.3</v>
      </c>
      <c r="F23" s="127">
        <v>19.8</v>
      </c>
      <c r="G23" s="127">
        <v>8.26</v>
      </c>
      <c r="H23" s="1"/>
    </row>
    <row r="24" spans="1:8" ht="14.25">
      <c r="A24" s="56" t="s">
        <v>64</v>
      </c>
      <c r="B24" s="127">
        <v>9.86</v>
      </c>
      <c r="C24" s="127">
        <v>203</v>
      </c>
      <c r="D24" s="127">
        <v>17.6</v>
      </c>
      <c r="E24" s="127">
        <v>17.4</v>
      </c>
      <c r="F24" s="127">
        <v>20.1</v>
      </c>
      <c r="G24" s="127">
        <v>7.86</v>
      </c>
      <c r="H24" s="1"/>
    </row>
    <row r="25" spans="1:8" ht="14.25">
      <c r="A25" s="56" t="s">
        <v>65</v>
      </c>
      <c r="B25" s="127">
        <v>9.69</v>
      </c>
      <c r="C25" s="127" t="s">
        <v>10</v>
      </c>
      <c r="D25" s="127">
        <v>17.4</v>
      </c>
      <c r="E25" s="127">
        <v>17.6</v>
      </c>
      <c r="F25" s="127">
        <v>20.6</v>
      </c>
      <c r="G25" s="127">
        <v>8.34</v>
      </c>
      <c r="H25" s="1"/>
    </row>
    <row r="26" spans="1:8" ht="14.25">
      <c r="A26" s="56" t="s">
        <v>66</v>
      </c>
      <c r="B26" s="127">
        <v>9.33</v>
      </c>
      <c r="C26" s="127" t="s">
        <v>10</v>
      </c>
      <c r="D26" s="127">
        <v>17.9</v>
      </c>
      <c r="E26" s="127">
        <v>18</v>
      </c>
      <c r="F26" s="127">
        <v>19.8</v>
      </c>
      <c r="G26" s="127">
        <v>8.03</v>
      </c>
      <c r="H26" s="1"/>
    </row>
    <row r="27" spans="1:8" ht="14.25">
      <c r="A27" s="56" t="s">
        <v>67</v>
      </c>
      <c r="B27" s="127">
        <v>9.29</v>
      </c>
      <c r="C27" s="127" t="s">
        <v>10</v>
      </c>
      <c r="D27" s="127">
        <v>17.3</v>
      </c>
      <c r="E27" s="127">
        <v>16.8</v>
      </c>
      <c r="F27" s="127">
        <v>19.4</v>
      </c>
      <c r="G27" s="127">
        <v>8.96</v>
      </c>
      <c r="H27" s="1"/>
    </row>
    <row r="28" spans="1:8" ht="14.25">
      <c r="A28" s="56" t="s">
        <v>68</v>
      </c>
      <c r="B28" s="127">
        <v>9.1</v>
      </c>
      <c r="C28" s="127" t="s">
        <v>10</v>
      </c>
      <c r="D28" s="127">
        <v>17.6</v>
      </c>
      <c r="E28" s="127">
        <v>17.4</v>
      </c>
      <c r="F28" s="127">
        <v>19.7</v>
      </c>
      <c r="G28" s="127">
        <v>8.52</v>
      </c>
      <c r="H28" s="1"/>
    </row>
    <row r="29" spans="1:8" ht="14.25">
      <c r="A29" s="56" t="s">
        <v>70</v>
      </c>
      <c r="B29" s="127">
        <v>9.42</v>
      </c>
      <c r="C29" s="127" t="s">
        <v>10</v>
      </c>
      <c r="D29" s="127">
        <v>17.9</v>
      </c>
      <c r="E29" s="127">
        <v>17.8</v>
      </c>
      <c r="F29" s="127">
        <v>20.5</v>
      </c>
      <c r="G29" s="127">
        <v>8.4</v>
      </c>
      <c r="H29" s="1"/>
    </row>
    <row r="30" spans="1:8" ht="14.25">
      <c r="A30" s="56" t="s">
        <v>71</v>
      </c>
      <c r="B30" s="127">
        <v>9.24</v>
      </c>
      <c r="C30" s="127">
        <v>127</v>
      </c>
      <c r="D30" s="127">
        <v>19.1</v>
      </c>
      <c r="E30" s="127">
        <v>17.7</v>
      </c>
      <c r="F30" s="127">
        <v>19.8</v>
      </c>
      <c r="G30" s="127">
        <v>9.3</v>
      </c>
      <c r="H30" s="1"/>
    </row>
    <row r="31" spans="1:8" ht="14.25">
      <c r="A31" s="56"/>
      <c r="B31" s="127"/>
      <c r="C31" s="127"/>
      <c r="D31" s="127"/>
      <c r="E31" s="127"/>
      <c r="F31" s="127"/>
      <c r="G31" s="127"/>
      <c r="H31" s="1"/>
    </row>
    <row r="32" spans="1:8" ht="14.25">
      <c r="A32" s="83" t="s">
        <v>127</v>
      </c>
      <c r="B32" s="127"/>
      <c r="C32" s="127"/>
      <c r="D32" s="127"/>
      <c r="E32" s="127"/>
      <c r="F32" s="127"/>
      <c r="G32" s="127"/>
      <c r="H32" s="1"/>
    </row>
    <row r="33" spans="1:8" ht="14.25">
      <c r="A33" s="56" t="s">
        <v>73</v>
      </c>
      <c r="B33" s="127">
        <v>9.35</v>
      </c>
      <c r="C33" s="127">
        <v>124</v>
      </c>
      <c r="D33" s="127">
        <v>17.4</v>
      </c>
      <c r="E33" s="127">
        <v>17.3</v>
      </c>
      <c r="F33" s="127">
        <v>23</v>
      </c>
      <c r="G33" s="127">
        <v>9.55</v>
      </c>
      <c r="H33" s="1"/>
    </row>
    <row r="34" spans="1:8" ht="14.25">
      <c r="A34" s="56" t="s">
        <v>60</v>
      </c>
      <c r="B34" s="127">
        <v>9.18</v>
      </c>
      <c r="C34" s="127">
        <v>138</v>
      </c>
      <c r="D34" s="127">
        <v>16.8</v>
      </c>
      <c r="E34" s="127">
        <v>16.7</v>
      </c>
      <c r="F34" s="127">
        <v>23.7</v>
      </c>
      <c r="G34" s="127">
        <v>9.23</v>
      </c>
      <c r="H34" s="1"/>
    </row>
    <row r="35" spans="1:8" ht="14.25">
      <c r="A35" s="56" t="s">
        <v>61</v>
      </c>
      <c r="B35" s="127">
        <v>9.22</v>
      </c>
      <c r="C35" s="127">
        <v>144</v>
      </c>
      <c r="D35" s="127">
        <v>16.6</v>
      </c>
      <c r="E35" s="127">
        <v>17.2</v>
      </c>
      <c r="F35" s="127">
        <v>23.2</v>
      </c>
      <c r="G35" s="127">
        <v>9.21</v>
      </c>
      <c r="H35" s="1"/>
    </row>
    <row r="36" spans="1:8" ht="14.25">
      <c r="A36" s="56" t="s">
        <v>62</v>
      </c>
      <c r="B36" s="127">
        <v>9.3</v>
      </c>
      <c r="C36" s="127">
        <v>143</v>
      </c>
      <c r="D36" s="127">
        <v>17</v>
      </c>
      <c r="E36" s="127">
        <v>16.7</v>
      </c>
      <c r="F36" s="127">
        <v>24.1</v>
      </c>
      <c r="G36" s="127">
        <v>9.34</v>
      </c>
      <c r="H36" s="1"/>
    </row>
    <row r="37" spans="1:7" ht="14.25">
      <c r="A37" s="55" t="s">
        <v>63</v>
      </c>
      <c r="B37" s="133">
        <v>9.3</v>
      </c>
      <c r="C37" s="133">
        <v>139</v>
      </c>
      <c r="D37" s="133">
        <v>17.6</v>
      </c>
      <c r="E37" s="133">
        <v>17.7</v>
      </c>
      <c r="F37" s="133">
        <v>23.1</v>
      </c>
      <c r="G37" s="133">
        <v>9.39</v>
      </c>
    </row>
    <row r="38" spans="1:7" ht="16.5">
      <c r="A38" s="56" t="s">
        <v>166</v>
      </c>
      <c r="B38" s="56"/>
      <c r="C38" s="56"/>
      <c r="D38" s="56"/>
      <c r="E38" s="56"/>
      <c r="F38" s="56"/>
      <c r="G38" s="56"/>
    </row>
    <row r="39" spans="1:7" ht="14.25">
      <c r="A39" s="56" t="s">
        <v>59</v>
      </c>
      <c r="B39" s="134"/>
      <c r="C39" s="134" t="s">
        <v>111</v>
      </c>
      <c r="D39" s="134"/>
      <c r="E39" s="134"/>
      <c r="F39" s="134"/>
      <c r="G39" s="134"/>
    </row>
    <row r="40" spans="1:7" ht="14.25">
      <c r="A40" s="56" t="s">
        <v>167</v>
      </c>
      <c r="B40" s="56"/>
      <c r="C40" s="56"/>
      <c r="D40" s="56"/>
      <c r="E40" s="56"/>
      <c r="F40" s="56"/>
      <c r="G40" s="56"/>
    </row>
    <row r="41" spans="1:7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5" t="s">
        <v>22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135" t="s">
        <v>15</v>
      </c>
      <c r="B2" s="103" t="s">
        <v>44</v>
      </c>
      <c r="C2" s="103" t="s">
        <v>17</v>
      </c>
      <c r="D2" s="103" t="s">
        <v>91</v>
      </c>
      <c r="E2" s="136" t="s">
        <v>53</v>
      </c>
      <c r="F2" s="136" t="s">
        <v>45</v>
      </c>
      <c r="G2" s="103" t="s">
        <v>49</v>
      </c>
      <c r="H2" s="103" t="s">
        <v>168</v>
      </c>
      <c r="I2" s="137" t="s">
        <v>48</v>
      </c>
    </row>
    <row r="3" spans="1:9" ht="15" customHeight="1">
      <c r="A3" s="108" t="s">
        <v>16</v>
      </c>
      <c r="B3" s="63" t="s">
        <v>169</v>
      </c>
      <c r="C3" s="63" t="s">
        <v>170</v>
      </c>
      <c r="D3" s="63" t="s">
        <v>171</v>
      </c>
      <c r="E3" s="63" t="s">
        <v>171</v>
      </c>
      <c r="F3" s="63" t="s">
        <v>172</v>
      </c>
      <c r="G3" s="63" t="s">
        <v>173</v>
      </c>
      <c r="H3" s="63"/>
      <c r="I3" s="63" t="s">
        <v>174</v>
      </c>
    </row>
    <row r="4" spans="1:9" ht="14.25">
      <c r="A4" s="56"/>
      <c r="B4" s="75" t="s">
        <v>112</v>
      </c>
      <c r="C4" s="138"/>
      <c r="D4" s="138"/>
      <c r="E4" s="138"/>
      <c r="F4" s="138"/>
      <c r="G4" s="138"/>
      <c r="H4" s="138"/>
      <c r="I4" s="138"/>
    </row>
    <row r="5" spans="1:9" ht="14.25">
      <c r="A5" s="56"/>
      <c r="B5" s="56"/>
      <c r="C5" s="56"/>
      <c r="D5" s="56"/>
      <c r="E5" s="56"/>
      <c r="F5" s="56"/>
      <c r="G5" s="56"/>
      <c r="H5" s="56"/>
      <c r="I5" s="56"/>
    </row>
    <row r="6" spans="1:9" ht="14.25">
      <c r="A6" s="56" t="s">
        <v>54</v>
      </c>
      <c r="B6" s="127">
        <v>52.03</v>
      </c>
      <c r="C6" s="127">
        <v>73.56</v>
      </c>
      <c r="D6" s="127">
        <v>91.15</v>
      </c>
      <c r="E6" s="127">
        <v>65.64</v>
      </c>
      <c r="F6" s="127">
        <v>94.53</v>
      </c>
      <c r="G6" s="127">
        <v>69.4</v>
      </c>
      <c r="H6" s="127">
        <v>40.85</v>
      </c>
      <c r="I6" s="127">
        <v>41.68</v>
      </c>
    </row>
    <row r="7" spans="1:9" ht="14.25">
      <c r="A7" s="56" t="s">
        <v>55</v>
      </c>
      <c r="B7" s="127">
        <v>32.16</v>
      </c>
      <c r="C7" s="127">
        <v>37.1</v>
      </c>
      <c r="D7" s="127">
        <v>50.24</v>
      </c>
      <c r="E7" s="127">
        <v>39.54</v>
      </c>
      <c r="F7" s="127">
        <v>78.49</v>
      </c>
      <c r="G7" s="127">
        <v>32.75</v>
      </c>
      <c r="H7" s="127">
        <v>26.72</v>
      </c>
      <c r="I7" s="127">
        <v>25.47</v>
      </c>
    </row>
    <row r="8" spans="1:9" ht="14.25">
      <c r="A8" s="56" t="s">
        <v>57</v>
      </c>
      <c r="B8" s="127">
        <v>35.95</v>
      </c>
      <c r="C8" s="127">
        <v>40.27</v>
      </c>
      <c r="D8" s="127">
        <v>52.8</v>
      </c>
      <c r="E8" s="127">
        <v>42.88</v>
      </c>
      <c r="F8" s="127">
        <v>59.62</v>
      </c>
      <c r="G8" s="127">
        <v>39.29</v>
      </c>
      <c r="H8" s="127">
        <v>31.99</v>
      </c>
      <c r="I8" s="127">
        <v>32.26</v>
      </c>
    </row>
    <row r="9" spans="1:9" ht="14.25">
      <c r="A9" s="56" t="s">
        <v>58</v>
      </c>
      <c r="B9" s="127">
        <v>53.2</v>
      </c>
      <c r="C9" s="127">
        <v>54.5</v>
      </c>
      <c r="D9" s="127">
        <v>86.12</v>
      </c>
      <c r="E9" s="127">
        <v>58.68</v>
      </c>
      <c r="F9" s="127">
        <v>77.24</v>
      </c>
      <c r="G9" s="127">
        <v>60.76</v>
      </c>
      <c r="H9" s="127">
        <v>51.52</v>
      </c>
      <c r="I9" s="127">
        <v>51.34</v>
      </c>
    </row>
    <row r="10" spans="1:9" ht="14.25">
      <c r="A10" s="56" t="s">
        <v>69</v>
      </c>
      <c r="B10" s="127">
        <v>51.9</v>
      </c>
      <c r="C10" s="127">
        <v>53.22</v>
      </c>
      <c r="D10" s="127">
        <v>83.2</v>
      </c>
      <c r="E10" s="127">
        <v>57.19</v>
      </c>
      <c r="F10" s="127">
        <v>100.15</v>
      </c>
      <c r="G10" s="127">
        <v>56.09</v>
      </c>
      <c r="H10" s="127">
        <v>48.11</v>
      </c>
      <c r="I10" s="127">
        <v>50.33</v>
      </c>
    </row>
    <row r="11" spans="1:9" ht="14.25">
      <c r="A11" s="56" t="s">
        <v>93</v>
      </c>
      <c r="B11" s="127">
        <v>47.13</v>
      </c>
      <c r="C11" s="127">
        <v>48.6</v>
      </c>
      <c r="D11" s="127">
        <v>65.87</v>
      </c>
      <c r="E11" s="127">
        <v>56.17</v>
      </c>
      <c r="F11" s="127">
        <v>91.83</v>
      </c>
      <c r="G11" s="127">
        <v>46.66</v>
      </c>
      <c r="H11" s="127">
        <v>51.8</v>
      </c>
      <c r="I11" s="127">
        <v>43.24</v>
      </c>
    </row>
    <row r="12" spans="1:9" ht="14.25">
      <c r="A12" s="56" t="s">
        <v>101</v>
      </c>
      <c r="B12" s="127">
        <v>38.23</v>
      </c>
      <c r="C12" s="127">
        <v>60.66</v>
      </c>
      <c r="D12" s="127">
        <v>59.12</v>
      </c>
      <c r="E12" s="127">
        <v>43.7</v>
      </c>
      <c r="F12" s="127">
        <v>68.23</v>
      </c>
      <c r="G12" s="127">
        <v>39.43</v>
      </c>
      <c r="H12" s="127">
        <v>43.93</v>
      </c>
      <c r="I12" s="127">
        <v>39.76</v>
      </c>
    </row>
    <row r="13" spans="1:9" ht="14.25">
      <c r="A13" s="56" t="s">
        <v>104</v>
      </c>
      <c r="B13" s="127">
        <v>31.6</v>
      </c>
      <c r="C13" s="127">
        <v>45.74</v>
      </c>
      <c r="D13" s="127">
        <v>66.72</v>
      </c>
      <c r="E13" s="127">
        <v>37.81</v>
      </c>
      <c r="F13" s="127">
        <v>57.96</v>
      </c>
      <c r="G13" s="127">
        <v>37.48</v>
      </c>
      <c r="H13" s="127">
        <v>33.43</v>
      </c>
      <c r="I13" s="127">
        <v>31.36</v>
      </c>
    </row>
    <row r="14" spans="1:9" ht="14.25">
      <c r="A14" s="56" t="s">
        <v>105</v>
      </c>
      <c r="B14" s="127">
        <v>29.86</v>
      </c>
      <c r="C14" s="127">
        <v>45.87</v>
      </c>
      <c r="D14" s="127">
        <v>57.81</v>
      </c>
      <c r="E14" s="127">
        <v>35.27</v>
      </c>
      <c r="F14" s="127">
        <v>58.26</v>
      </c>
      <c r="G14" s="127">
        <v>39.25</v>
      </c>
      <c r="H14" s="127">
        <v>32.23</v>
      </c>
      <c r="I14" s="127">
        <v>30.07</v>
      </c>
    </row>
    <row r="15" spans="1:9" ht="16.5">
      <c r="A15" s="56" t="s">
        <v>146</v>
      </c>
      <c r="B15" s="127">
        <v>32.55</v>
      </c>
      <c r="C15" s="127">
        <v>40.92</v>
      </c>
      <c r="D15" s="127">
        <v>53.54</v>
      </c>
      <c r="E15" s="127">
        <v>38.73</v>
      </c>
      <c r="F15" s="127">
        <v>66.73</v>
      </c>
      <c r="G15" s="127">
        <v>37.43</v>
      </c>
      <c r="H15" s="127">
        <v>33.07</v>
      </c>
      <c r="I15" s="127">
        <v>34.75</v>
      </c>
    </row>
    <row r="16" spans="1:9" ht="16.5">
      <c r="A16" s="56" t="s">
        <v>165</v>
      </c>
      <c r="B16" s="128" t="s">
        <v>187</v>
      </c>
      <c r="C16" s="128" t="s">
        <v>188</v>
      </c>
      <c r="D16" s="128" t="s">
        <v>198</v>
      </c>
      <c r="E16" s="128" t="s">
        <v>189</v>
      </c>
      <c r="F16" s="128" t="s">
        <v>190</v>
      </c>
      <c r="G16" s="128" t="s">
        <v>191</v>
      </c>
      <c r="H16" s="128" t="s">
        <v>133</v>
      </c>
      <c r="I16" s="128" t="s">
        <v>187</v>
      </c>
    </row>
    <row r="17" spans="1:9" ht="14.25">
      <c r="A17" s="56"/>
      <c r="B17" s="72"/>
      <c r="C17" s="130"/>
      <c r="D17" s="139"/>
      <c r="E17" s="139"/>
      <c r="F17" s="139"/>
      <c r="G17" s="139"/>
      <c r="H17" s="56"/>
      <c r="I17" s="56"/>
    </row>
    <row r="18" spans="1:9" ht="14.25">
      <c r="A18" s="56" t="s">
        <v>123</v>
      </c>
      <c r="B18" s="127"/>
      <c r="C18" s="127"/>
      <c r="D18" s="127"/>
      <c r="E18" s="127"/>
      <c r="F18" s="127"/>
      <c r="G18" s="127"/>
      <c r="H18" s="127"/>
      <c r="I18" s="127"/>
    </row>
    <row r="19" spans="1:15" ht="14.25">
      <c r="A19" s="56" t="s">
        <v>60</v>
      </c>
      <c r="B19" s="127">
        <v>33.86</v>
      </c>
      <c r="C19" s="127">
        <v>44.875</v>
      </c>
      <c r="D19" s="127">
        <v>56</v>
      </c>
      <c r="E19" s="127">
        <v>38.94</v>
      </c>
      <c r="F19" s="127">
        <v>64.88</v>
      </c>
      <c r="G19" s="127">
        <v>36.22</v>
      </c>
      <c r="H19" s="127">
        <v>34</v>
      </c>
      <c r="I19" s="127">
        <v>32.25</v>
      </c>
      <c r="K19" s="7"/>
      <c r="L19" s="7"/>
      <c r="M19" s="7"/>
      <c r="N19" s="7"/>
      <c r="O19" s="7"/>
    </row>
    <row r="20" spans="1:15" ht="14.25">
      <c r="A20" s="56" t="s">
        <v>61</v>
      </c>
      <c r="B20" s="127">
        <v>34.52</v>
      </c>
      <c r="C20" s="127">
        <v>45.8125</v>
      </c>
      <c r="D20" s="127">
        <v>56</v>
      </c>
      <c r="E20" s="127">
        <v>39.25</v>
      </c>
      <c r="F20" s="127">
        <v>66</v>
      </c>
      <c r="G20" s="127">
        <v>36.83</v>
      </c>
      <c r="H20" s="127" t="s">
        <v>10</v>
      </c>
      <c r="I20" s="127">
        <v>34.69</v>
      </c>
      <c r="K20" s="7"/>
      <c r="L20" s="7"/>
      <c r="M20" s="7"/>
      <c r="N20" s="7"/>
      <c r="O20" s="7"/>
    </row>
    <row r="21" spans="1:15" ht="14.25">
      <c r="A21" s="56" t="s">
        <v>62</v>
      </c>
      <c r="B21" s="127">
        <v>35.57</v>
      </c>
      <c r="C21" s="127">
        <v>46.4</v>
      </c>
      <c r="D21" s="127">
        <v>56</v>
      </c>
      <c r="E21" s="127">
        <v>40.2</v>
      </c>
      <c r="F21" s="127">
        <v>63.1</v>
      </c>
      <c r="G21" s="127">
        <v>38.12</v>
      </c>
      <c r="H21" s="127">
        <v>31</v>
      </c>
      <c r="I21" s="127">
        <v>34</v>
      </c>
      <c r="K21" s="7"/>
      <c r="L21" s="7"/>
      <c r="M21" s="7"/>
      <c r="N21" s="7"/>
      <c r="O21" s="7"/>
    </row>
    <row r="22" spans="1:15" ht="14.25">
      <c r="A22" s="56" t="s">
        <v>63</v>
      </c>
      <c r="B22" s="127">
        <v>33.58</v>
      </c>
      <c r="C22" s="127">
        <v>44.5625</v>
      </c>
      <c r="D22" s="127">
        <v>56</v>
      </c>
      <c r="E22" s="127">
        <v>38.69</v>
      </c>
      <c r="F22" s="127">
        <v>62.88</v>
      </c>
      <c r="G22" s="127">
        <v>37.89</v>
      </c>
      <c r="H22" s="127">
        <v>30.1</v>
      </c>
      <c r="I22" s="127">
        <v>34</v>
      </c>
      <c r="K22" s="7"/>
      <c r="L22" s="7"/>
      <c r="M22" s="7"/>
      <c r="N22" s="7"/>
      <c r="O22" s="7"/>
    </row>
    <row r="23" spans="1:15" ht="14.25">
      <c r="A23" s="56" t="s">
        <v>64</v>
      </c>
      <c r="B23" s="127">
        <v>32</v>
      </c>
      <c r="C23" s="127">
        <v>41.5</v>
      </c>
      <c r="D23" s="127">
        <v>55</v>
      </c>
      <c r="E23" s="127">
        <v>37.25</v>
      </c>
      <c r="F23" s="127">
        <v>63.13</v>
      </c>
      <c r="G23" s="127">
        <v>38.11</v>
      </c>
      <c r="H23" s="127" t="s">
        <v>10</v>
      </c>
      <c r="I23" s="127">
        <v>34.5</v>
      </c>
      <c r="K23" s="7"/>
      <c r="L23" s="7"/>
      <c r="M23" s="7"/>
      <c r="N23" s="7"/>
      <c r="O23" s="7"/>
    </row>
    <row r="24" spans="1:15" ht="14.25">
      <c r="A24" s="56" t="s">
        <v>65</v>
      </c>
      <c r="B24" s="127">
        <v>30.86</v>
      </c>
      <c r="C24" s="127">
        <v>39.45</v>
      </c>
      <c r="D24" s="127">
        <v>52</v>
      </c>
      <c r="E24" s="127">
        <v>37.3</v>
      </c>
      <c r="F24" s="127">
        <v>65.8</v>
      </c>
      <c r="G24" s="127">
        <v>37.9</v>
      </c>
      <c r="H24" s="127" t="s">
        <v>10</v>
      </c>
      <c r="I24" s="127">
        <v>33.8</v>
      </c>
      <c r="K24" s="7"/>
      <c r="L24" s="7"/>
      <c r="M24" s="7"/>
      <c r="N24" s="7"/>
      <c r="O24" s="7"/>
    </row>
    <row r="25" spans="1:15" ht="14.25">
      <c r="A25" s="56" t="s">
        <v>66</v>
      </c>
      <c r="B25" s="127">
        <v>29.57</v>
      </c>
      <c r="C25" s="127">
        <v>37.5625</v>
      </c>
      <c r="D25" s="127">
        <v>51</v>
      </c>
      <c r="E25" s="127">
        <v>36.13</v>
      </c>
      <c r="F25" s="127">
        <v>69.69</v>
      </c>
      <c r="G25" s="127">
        <v>37.63</v>
      </c>
      <c r="H25" s="127" t="s">
        <v>10</v>
      </c>
      <c r="I25" s="127">
        <v>33.5</v>
      </c>
      <c r="K25" s="7"/>
      <c r="L25" s="7"/>
      <c r="M25" s="7"/>
      <c r="N25" s="7"/>
      <c r="O25" s="7"/>
    </row>
    <row r="26" spans="1:15" ht="14.25">
      <c r="A26" s="56" t="s">
        <v>67</v>
      </c>
      <c r="B26" s="127">
        <v>30.6</v>
      </c>
      <c r="C26" s="127">
        <v>38.625</v>
      </c>
      <c r="D26" s="127">
        <v>50.5</v>
      </c>
      <c r="E26" s="127">
        <v>37.06</v>
      </c>
      <c r="F26" s="127">
        <v>70.75</v>
      </c>
      <c r="G26" s="127">
        <v>37.71</v>
      </c>
      <c r="H26" s="127" t="s">
        <v>10</v>
      </c>
      <c r="I26" s="127">
        <v>35.91</v>
      </c>
      <c r="K26" s="7"/>
      <c r="L26" s="7"/>
      <c r="M26" s="7"/>
      <c r="N26" s="7"/>
      <c r="O26" s="7"/>
    </row>
    <row r="27" spans="1:15" ht="14.25">
      <c r="A27" s="56" t="s">
        <v>68</v>
      </c>
      <c r="B27" s="127">
        <v>30.74</v>
      </c>
      <c r="C27" s="127">
        <v>38.6</v>
      </c>
      <c r="D27" s="127">
        <v>50.8</v>
      </c>
      <c r="E27" s="127">
        <v>37.85</v>
      </c>
      <c r="F27" s="127">
        <v>76.2</v>
      </c>
      <c r="G27" s="127">
        <v>38</v>
      </c>
      <c r="H27" s="127">
        <v>34.5</v>
      </c>
      <c r="I27" s="127">
        <v>36.6</v>
      </c>
      <c r="K27" s="7"/>
      <c r="L27" s="7"/>
      <c r="M27" s="7"/>
      <c r="N27" s="7"/>
      <c r="O27" s="7"/>
    </row>
    <row r="28" spans="1:15" ht="14.25">
      <c r="A28" s="56" t="s">
        <v>70</v>
      </c>
      <c r="B28" s="127">
        <v>32.82</v>
      </c>
      <c r="C28" s="127">
        <v>38.875</v>
      </c>
      <c r="D28" s="127">
        <v>51.25</v>
      </c>
      <c r="E28" s="127">
        <v>39.75</v>
      </c>
      <c r="F28" s="127">
        <v>75.75</v>
      </c>
      <c r="G28" s="127">
        <v>37.53</v>
      </c>
      <c r="H28" s="127" t="s">
        <v>10</v>
      </c>
      <c r="I28" s="127">
        <v>36.89</v>
      </c>
      <c r="K28" s="7"/>
      <c r="L28" s="7"/>
      <c r="M28" s="7"/>
      <c r="N28" s="7"/>
      <c r="O28" s="7"/>
    </row>
    <row r="29" spans="1:15" ht="14.25">
      <c r="A29" s="56" t="s">
        <v>71</v>
      </c>
      <c r="B29" s="127">
        <v>33.17</v>
      </c>
      <c r="C29" s="127">
        <v>36.375</v>
      </c>
      <c r="D29" s="127">
        <v>52.75</v>
      </c>
      <c r="E29" s="127">
        <v>41.19</v>
      </c>
      <c r="F29" s="127">
        <v>69.63</v>
      </c>
      <c r="G29" s="127">
        <v>36.75</v>
      </c>
      <c r="H29" s="127" t="s">
        <v>10</v>
      </c>
      <c r="I29" s="127">
        <v>35.78</v>
      </c>
      <c r="K29" s="7"/>
      <c r="L29" s="7"/>
      <c r="M29" s="7"/>
      <c r="N29" s="7"/>
      <c r="O29" s="7"/>
    </row>
    <row r="30" spans="1:15" ht="14.25">
      <c r="A30" s="56" t="s">
        <v>73</v>
      </c>
      <c r="B30" s="127">
        <v>33.28</v>
      </c>
      <c r="C30" s="127">
        <v>38.45</v>
      </c>
      <c r="D30" s="127">
        <v>55.2</v>
      </c>
      <c r="E30" s="127">
        <v>41.15</v>
      </c>
      <c r="F30" s="127">
        <v>66.6</v>
      </c>
      <c r="G30" s="127">
        <v>36.48</v>
      </c>
      <c r="H30" s="127">
        <v>35.75</v>
      </c>
      <c r="I30" s="127">
        <v>35.08</v>
      </c>
      <c r="K30" s="7"/>
      <c r="L30" s="7"/>
      <c r="M30" s="7"/>
      <c r="N30" s="7"/>
      <c r="O30" s="7"/>
    </row>
    <row r="31" spans="1:9" ht="14.25">
      <c r="A31" s="59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56" t="s">
        <v>127</v>
      </c>
      <c r="B32" s="127"/>
      <c r="C32" s="127"/>
      <c r="D32" s="127"/>
      <c r="E32" s="127"/>
      <c r="F32" s="127"/>
      <c r="G32" s="127"/>
      <c r="H32" s="127"/>
      <c r="I32" s="127"/>
    </row>
    <row r="33" spans="1:15" ht="14.25">
      <c r="A33" s="56" t="s">
        <v>60</v>
      </c>
      <c r="B33" s="127">
        <v>32.35</v>
      </c>
      <c r="C33" s="127">
        <v>37.06</v>
      </c>
      <c r="D33" s="127">
        <v>56</v>
      </c>
      <c r="E33" s="127">
        <v>39.06</v>
      </c>
      <c r="F33" s="127">
        <v>65.44</v>
      </c>
      <c r="G33" s="127">
        <v>34.96</v>
      </c>
      <c r="H33" s="127">
        <v>36</v>
      </c>
      <c r="I33" s="127">
        <v>32.06</v>
      </c>
      <c r="K33" s="7"/>
      <c r="L33" s="7"/>
      <c r="M33" s="7"/>
      <c r="N33" s="7"/>
      <c r="O33" s="7"/>
    </row>
    <row r="34" spans="1:15" ht="14.25">
      <c r="A34" s="56" t="s">
        <v>61</v>
      </c>
      <c r="B34" s="127">
        <v>33.43</v>
      </c>
      <c r="C34" s="127">
        <v>37</v>
      </c>
      <c r="D34" s="127">
        <v>55.5</v>
      </c>
      <c r="E34" s="127">
        <v>39.69</v>
      </c>
      <c r="F34" s="127">
        <v>65</v>
      </c>
      <c r="G34" s="127">
        <v>34.46</v>
      </c>
      <c r="H34" s="127">
        <v>38.17</v>
      </c>
      <c r="I34" s="127">
        <v>33.44</v>
      </c>
      <c r="K34" s="7"/>
      <c r="L34" s="7"/>
      <c r="M34" s="7"/>
      <c r="N34" s="7"/>
      <c r="O34" s="7"/>
    </row>
    <row r="35" spans="1:9" ht="14.25">
      <c r="A35" s="56" t="s">
        <v>62</v>
      </c>
      <c r="B35" s="127">
        <v>32.27</v>
      </c>
      <c r="C35" s="127">
        <v>34.25</v>
      </c>
      <c r="D35" s="127">
        <v>54.8</v>
      </c>
      <c r="E35" s="127">
        <v>38.65</v>
      </c>
      <c r="F35" s="127">
        <v>65.2</v>
      </c>
      <c r="G35" s="127">
        <v>33.96</v>
      </c>
      <c r="H35" s="127">
        <v>37</v>
      </c>
      <c r="I35" s="127">
        <v>31.63</v>
      </c>
    </row>
    <row r="36" spans="1:9" ht="14.25">
      <c r="A36" s="56" t="s">
        <v>63</v>
      </c>
      <c r="B36" s="127">
        <v>31.61</v>
      </c>
      <c r="C36" s="127">
        <v>32.75</v>
      </c>
      <c r="D36" s="127">
        <v>55.5</v>
      </c>
      <c r="E36" s="127">
        <v>38.31</v>
      </c>
      <c r="F36" s="127">
        <v>66.13</v>
      </c>
      <c r="G36" s="127">
        <v>30.68</v>
      </c>
      <c r="H36" s="127">
        <v>32.08</v>
      </c>
      <c r="I36" s="127" t="s">
        <v>10</v>
      </c>
    </row>
    <row r="37" spans="1:9" ht="14.25">
      <c r="A37" s="55" t="s">
        <v>64</v>
      </c>
      <c r="B37" s="133">
        <v>30.63</v>
      </c>
      <c r="C37" s="133">
        <v>31.44</v>
      </c>
      <c r="D37" s="133">
        <v>55</v>
      </c>
      <c r="E37" s="133">
        <v>37.44</v>
      </c>
      <c r="F37" s="133">
        <v>66.63</v>
      </c>
      <c r="G37" s="133">
        <v>29.72</v>
      </c>
      <c r="H37" s="133">
        <v>32.2</v>
      </c>
      <c r="I37" s="133">
        <v>31</v>
      </c>
    </row>
    <row r="38" spans="1:9" ht="16.5">
      <c r="A38" s="102" t="s">
        <v>184</v>
      </c>
      <c r="B38" s="140"/>
      <c r="C38" s="140"/>
      <c r="D38" s="140"/>
      <c r="E38" s="140"/>
      <c r="F38" s="140"/>
      <c r="G38" s="140"/>
      <c r="H38" s="140"/>
      <c r="I38" s="140"/>
    </row>
    <row r="39" spans="1:9" ht="16.5">
      <c r="A39" s="56" t="s">
        <v>185</v>
      </c>
      <c r="B39" s="140"/>
      <c r="C39" s="140"/>
      <c r="D39" s="140"/>
      <c r="E39" s="140"/>
      <c r="F39" s="140"/>
      <c r="G39" s="140"/>
      <c r="H39" s="140"/>
      <c r="I39" s="140"/>
    </row>
    <row r="40" spans="1:9" ht="14.25">
      <c r="A40" s="56" t="s">
        <v>175</v>
      </c>
      <c r="B40" s="56"/>
      <c r="C40" s="56"/>
      <c r="D40" s="56"/>
      <c r="E40" s="56"/>
      <c r="F40" s="140"/>
      <c r="G40" s="56"/>
      <c r="H40" s="56"/>
      <c r="I40" s="56"/>
    </row>
    <row r="41" spans="1:9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  <c r="H41" s="56"/>
      <c r="I41" s="56"/>
    </row>
    <row r="42" spans="3:9" ht="15.75">
      <c r="C42" s="14"/>
      <c r="G42" s="14"/>
      <c r="H42" s="14"/>
      <c r="I42" s="14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F60" s="16"/>
      <c r="H60" s="14"/>
      <c r="I60" s="14"/>
    </row>
    <row r="61" spans="6:9" ht="15.75">
      <c r="F61" s="16"/>
      <c r="H61" s="14"/>
      <c r="I61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5" t="s">
        <v>43</v>
      </c>
      <c r="B1" s="55"/>
      <c r="C1" s="55"/>
      <c r="D1" s="55"/>
      <c r="E1" s="55"/>
      <c r="F1" s="55"/>
      <c r="G1" s="55"/>
    </row>
    <row r="2" spans="1:7" ht="15" customHeight="1">
      <c r="A2" s="59" t="s">
        <v>15</v>
      </c>
      <c r="B2" s="103" t="s">
        <v>44</v>
      </c>
      <c r="C2" s="141" t="s">
        <v>17</v>
      </c>
      <c r="D2" s="141" t="s">
        <v>91</v>
      </c>
      <c r="E2" s="141" t="s">
        <v>45</v>
      </c>
      <c r="F2" s="103" t="s">
        <v>46</v>
      </c>
      <c r="G2" s="58" t="s">
        <v>47</v>
      </c>
    </row>
    <row r="3" spans="1:7" ht="15" customHeight="1">
      <c r="A3" s="55" t="s">
        <v>16</v>
      </c>
      <c r="B3" s="63" t="s">
        <v>176</v>
      </c>
      <c r="C3" s="63" t="s">
        <v>177</v>
      </c>
      <c r="D3" s="63" t="s">
        <v>178</v>
      </c>
      <c r="E3" s="63" t="s">
        <v>179</v>
      </c>
      <c r="F3" s="63" t="s">
        <v>180</v>
      </c>
      <c r="G3" s="63" t="s">
        <v>181</v>
      </c>
    </row>
    <row r="4" spans="1:7" ht="14.25">
      <c r="A4" s="56"/>
      <c r="B4" s="75" t="s">
        <v>113</v>
      </c>
      <c r="C4" s="138"/>
      <c r="D4" s="138"/>
      <c r="E4" s="138"/>
      <c r="F4" s="138"/>
      <c r="G4" s="138"/>
    </row>
    <row r="5" spans="1:7" ht="14.25">
      <c r="A5" s="56"/>
      <c r="B5" s="56"/>
      <c r="C5" s="56"/>
      <c r="D5" s="56"/>
      <c r="E5" s="56"/>
      <c r="F5" s="56"/>
      <c r="G5" s="56"/>
    </row>
    <row r="6" spans="1:8" ht="14.25">
      <c r="A6" s="56" t="s">
        <v>54</v>
      </c>
      <c r="B6" s="127">
        <v>335.94</v>
      </c>
      <c r="C6" s="127">
        <v>253.81</v>
      </c>
      <c r="D6" s="127">
        <v>172.81</v>
      </c>
      <c r="E6" s="142" t="s">
        <v>10</v>
      </c>
      <c r="F6" s="127">
        <v>251.32</v>
      </c>
      <c r="G6" s="127">
        <v>228.81</v>
      </c>
      <c r="H6" s="16"/>
    </row>
    <row r="7" spans="1:8" ht="14.25">
      <c r="A7" s="56" t="s">
        <v>55</v>
      </c>
      <c r="B7" s="127">
        <v>331.17</v>
      </c>
      <c r="C7" s="127">
        <v>255.23</v>
      </c>
      <c r="D7" s="127">
        <v>152.46</v>
      </c>
      <c r="E7" s="142" t="s">
        <v>10</v>
      </c>
      <c r="F7" s="127">
        <v>248.82</v>
      </c>
      <c r="G7" s="127">
        <v>220.89</v>
      </c>
      <c r="H7" s="16"/>
    </row>
    <row r="8" spans="1:8" ht="14.25">
      <c r="A8" s="56" t="s">
        <v>57</v>
      </c>
      <c r="B8" s="127">
        <v>311.27</v>
      </c>
      <c r="C8" s="127">
        <v>220.9</v>
      </c>
      <c r="D8" s="127">
        <v>151.04</v>
      </c>
      <c r="E8" s="142" t="s">
        <v>10</v>
      </c>
      <c r="F8" s="127">
        <v>224.92</v>
      </c>
      <c r="G8" s="127">
        <v>209.23</v>
      </c>
      <c r="H8" s="16"/>
    </row>
    <row r="9" spans="1:8" ht="14.25">
      <c r="A9" s="56" t="s">
        <v>58</v>
      </c>
      <c r="B9" s="127">
        <v>345.52</v>
      </c>
      <c r="C9" s="127">
        <v>273.84</v>
      </c>
      <c r="D9" s="127">
        <v>219.72</v>
      </c>
      <c r="E9" s="142" t="s">
        <v>10</v>
      </c>
      <c r="F9" s="127">
        <v>263.63</v>
      </c>
      <c r="G9" s="127">
        <v>240.65</v>
      </c>
      <c r="H9" s="16"/>
    </row>
    <row r="10" spans="1:8" ht="14.25">
      <c r="A10" s="56" t="s">
        <v>69</v>
      </c>
      <c r="B10" s="127">
        <v>393.53</v>
      </c>
      <c r="C10" s="127">
        <v>275.13</v>
      </c>
      <c r="D10" s="127">
        <v>246.75</v>
      </c>
      <c r="E10" s="142" t="s">
        <v>10</v>
      </c>
      <c r="F10" s="127">
        <v>307.59</v>
      </c>
      <c r="G10" s="127">
        <v>265.68</v>
      </c>
      <c r="H10" s="16"/>
    </row>
    <row r="11" spans="1:8" ht="14.25">
      <c r="A11" s="56" t="s">
        <v>93</v>
      </c>
      <c r="B11" s="127">
        <v>468.11</v>
      </c>
      <c r="C11" s="127">
        <v>331.52</v>
      </c>
      <c r="D11" s="127">
        <v>241.57</v>
      </c>
      <c r="E11" s="142" t="s">
        <v>10</v>
      </c>
      <c r="F11" s="127">
        <v>354.22</v>
      </c>
      <c r="G11" s="127">
        <v>329.31</v>
      </c>
      <c r="H11" s="16"/>
    </row>
    <row r="12" spans="1:8" ht="14.25">
      <c r="A12" s="56" t="s">
        <v>101</v>
      </c>
      <c r="B12" s="127">
        <v>489.94</v>
      </c>
      <c r="C12" s="127">
        <v>377.71</v>
      </c>
      <c r="D12" s="127">
        <v>238.87</v>
      </c>
      <c r="E12" s="142" t="s">
        <v>10</v>
      </c>
      <c r="F12" s="127">
        <v>359.7</v>
      </c>
      <c r="G12" s="127">
        <v>337.23</v>
      </c>
      <c r="H12" s="16"/>
    </row>
    <row r="13" spans="1:8" ht="14.25">
      <c r="A13" s="56" t="s">
        <v>104</v>
      </c>
      <c r="B13" s="127">
        <v>368.49</v>
      </c>
      <c r="C13" s="127">
        <v>304.27</v>
      </c>
      <c r="D13" s="127">
        <v>209.97</v>
      </c>
      <c r="E13" s="142" t="s">
        <v>10</v>
      </c>
      <c r="F13" s="127">
        <v>301.2</v>
      </c>
      <c r="G13" s="127">
        <v>256.58</v>
      </c>
      <c r="H13" s="16"/>
    </row>
    <row r="14" spans="1:7" ht="14.25">
      <c r="A14" s="56" t="s">
        <v>105</v>
      </c>
      <c r="B14" s="127">
        <v>324.56</v>
      </c>
      <c r="C14" s="127">
        <v>261.19</v>
      </c>
      <c r="D14" s="127">
        <v>153.17</v>
      </c>
      <c r="E14" s="142" t="s">
        <v>10</v>
      </c>
      <c r="F14" s="127">
        <v>262.2</v>
      </c>
      <c r="G14" s="127">
        <v>260.23</v>
      </c>
    </row>
    <row r="15" spans="1:7" ht="16.5">
      <c r="A15" s="56" t="s">
        <v>146</v>
      </c>
      <c r="B15" s="127">
        <v>316.88</v>
      </c>
      <c r="C15" s="127">
        <v>208.61</v>
      </c>
      <c r="D15" s="127">
        <v>145.1</v>
      </c>
      <c r="E15" s="142" t="s">
        <v>10</v>
      </c>
      <c r="F15" s="127">
        <v>267.94</v>
      </c>
      <c r="G15" s="127">
        <v>282.49</v>
      </c>
    </row>
    <row r="16" spans="1:7" ht="16.5">
      <c r="A16" s="56" t="s">
        <v>165</v>
      </c>
      <c r="B16" s="127" t="s">
        <v>192</v>
      </c>
      <c r="C16" s="127" t="s">
        <v>135</v>
      </c>
      <c r="D16" s="127" t="s">
        <v>134</v>
      </c>
      <c r="E16" s="142" t="s">
        <v>10</v>
      </c>
      <c r="F16" s="127" t="s">
        <v>193</v>
      </c>
      <c r="G16" s="127" t="s">
        <v>194</v>
      </c>
    </row>
    <row r="17" spans="1:8" ht="14.25">
      <c r="A17" s="143"/>
      <c r="B17" s="127"/>
      <c r="C17" s="127"/>
      <c r="D17" s="127"/>
      <c r="E17" s="142"/>
      <c r="F17" s="127"/>
      <c r="G17" s="127"/>
      <c r="H17" s="13"/>
    </row>
    <row r="18" spans="1:8" ht="14.25">
      <c r="A18" s="56" t="s">
        <v>123</v>
      </c>
      <c r="B18" s="127"/>
      <c r="C18" s="127"/>
      <c r="D18" s="127"/>
      <c r="E18" s="142"/>
      <c r="F18" s="127"/>
      <c r="G18" s="127"/>
      <c r="H18" s="13"/>
    </row>
    <row r="19" spans="1:13" ht="14.25">
      <c r="A19" s="56" t="s">
        <v>60</v>
      </c>
      <c r="B19" s="127">
        <v>323.27</v>
      </c>
      <c r="C19" s="127">
        <v>241.88</v>
      </c>
      <c r="D19" s="127">
        <v>148.75</v>
      </c>
      <c r="E19" s="142" t="s">
        <v>10</v>
      </c>
      <c r="F19" s="127">
        <v>225.05</v>
      </c>
      <c r="G19" s="127">
        <v>305.63</v>
      </c>
      <c r="H19" s="13"/>
      <c r="I19" s="7"/>
      <c r="J19" s="7"/>
      <c r="K19" s="7"/>
      <c r="L19" s="7"/>
      <c r="M19" s="7"/>
    </row>
    <row r="20" spans="1:13" ht="14.25">
      <c r="A20" s="56" t="s">
        <v>61</v>
      </c>
      <c r="B20" s="127">
        <v>322.41</v>
      </c>
      <c r="C20" s="127">
        <v>221</v>
      </c>
      <c r="D20" s="127">
        <v>140.5</v>
      </c>
      <c r="E20" s="142" t="s">
        <v>10</v>
      </c>
      <c r="F20" s="127">
        <v>234.78</v>
      </c>
      <c r="G20" s="127">
        <v>296</v>
      </c>
      <c r="H20" s="13"/>
      <c r="I20" s="7"/>
      <c r="J20" s="7"/>
      <c r="K20" s="7"/>
      <c r="L20" s="7"/>
      <c r="M20" s="7"/>
    </row>
    <row r="21" spans="1:13" ht="14.25">
      <c r="A21" s="56" t="s">
        <v>62</v>
      </c>
      <c r="B21" s="127">
        <v>321.02</v>
      </c>
      <c r="C21" s="127">
        <v>217.5</v>
      </c>
      <c r="D21" s="127">
        <v>145</v>
      </c>
      <c r="E21" s="142" t="s">
        <v>10</v>
      </c>
      <c r="F21" s="127">
        <v>243.3</v>
      </c>
      <c r="G21" s="127">
        <v>290</v>
      </c>
      <c r="H21" s="13"/>
      <c r="I21" s="7"/>
      <c r="J21" s="7"/>
      <c r="K21" s="7"/>
      <c r="L21" s="7"/>
      <c r="M21" s="7"/>
    </row>
    <row r="22" spans="1:13" ht="14.25">
      <c r="A22" s="56" t="s">
        <v>63</v>
      </c>
      <c r="B22" s="127">
        <v>332.34</v>
      </c>
      <c r="C22" s="127">
        <v>223.5</v>
      </c>
      <c r="D22" s="127">
        <v>159</v>
      </c>
      <c r="E22" s="142" t="s">
        <v>10</v>
      </c>
      <c r="F22" s="127">
        <v>267.41</v>
      </c>
      <c r="G22" s="127">
        <v>297</v>
      </c>
      <c r="H22" s="13"/>
      <c r="I22" s="7"/>
      <c r="J22" s="7"/>
      <c r="K22" s="7"/>
      <c r="L22" s="7"/>
      <c r="M22" s="7"/>
    </row>
    <row r="23" spans="1:13" ht="14.25">
      <c r="A23" s="56" t="s">
        <v>64</v>
      </c>
      <c r="B23" s="127">
        <v>334.42</v>
      </c>
      <c r="C23" s="127">
        <v>221.88</v>
      </c>
      <c r="D23" s="127">
        <v>161.88</v>
      </c>
      <c r="E23" s="142" t="s">
        <v>10</v>
      </c>
      <c r="F23" s="127">
        <v>276.9</v>
      </c>
      <c r="G23" s="127">
        <v>299.38</v>
      </c>
      <c r="H23" s="13"/>
      <c r="I23" s="7"/>
      <c r="J23" s="7"/>
      <c r="K23" s="7"/>
      <c r="L23" s="7"/>
      <c r="M23" s="7"/>
    </row>
    <row r="24" spans="1:13" ht="14.25">
      <c r="A24" s="56" t="s">
        <v>65</v>
      </c>
      <c r="B24" s="127">
        <v>320.34</v>
      </c>
      <c r="C24" s="127">
        <v>210.63</v>
      </c>
      <c r="D24" s="127">
        <v>155</v>
      </c>
      <c r="E24" s="142" t="s">
        <v>10</v>
      </c>
      <c r="F24" s="127">
        <v>276.33</v>
      </c>
      <c r="G24" s="127">
        <v>297.5</v>
      </c>
      <c r="H24" s="13"/>
      <c r="I24" s="7"/>
      <c r="J24" s="7"/>
      <c r="K24" s="7"/>
      <c r="L24" s="7"/>
      <c r="M24" s="7"/>
    </row>
    <row r="25" spans="1:13" ht="14.25">
      <c r="A25" s="56" t="s">
        <v>66</v>
      </c>
      <c r="B25" s="127">
        <v>305.67</v>
      </c>
      <c r="C25" s="127">
        <v>195</v>
      </c>
      <c r="D25" s="127">
        <v>147.5</v>
      </c>
      <c r="E25" s="142" t="s">
        <v>10</v>
      </c>
      <c r="F25" s="127">
        <v>270.66</v>
      </c>
      <c r="G25" s="127">
        <v>291.25</v>
      </c>
      <c r="H25" s="13"/>
      <c r="I25" s="7"/>
      <c r="J25" s="7"/>
      <c r="K25" s="7"/>
      <c r="L25" s="7"/>
      <c r="M25" s="7"/>
    </row>
    <row r="26" spans="1:13" ht="14.25">
      <c r="A26" s="56" t="s">
        <v>67</v>
      </c>
      <c r="B26" s="127">
        <v>307.63</v>
      </c>
      <c r="C26" s="127">
        <v>179.5</v>
      </c>
      <c r="D26" s="127">
        <v>144</v>
      </c>
      <c r="E26" s="142" t="s">
        <v>10</v>
      </c>
      <c r="F26" s="127">
        <v>279.64</v>
      </c>
      <c r="G26" s="127">
        <v>290</v>
      </c>
      <c r="H26" s="13"/>
      <c r="I26" s="7"/>
      <c r="J26" s="7"/>
      <c r="K26" s="7"/>
      <c r="L26" s="7"/>
      <c r="M26" s="7"/>
    </row>
    <row r="27" spans="1:13" ht="14.25">
      <c r="A27" s="56" t="s">
        <v>68</v>
      </c>
      <c r="B27" s="127">
        <v>300.72</v>
      </c>
      <c r="C27" s="127">
        <v>179.38</v>
      </c>
      <c r="D27" s="127">
        <v>140</v>
      </c>
      <c r="E27" s="142" t="s">
        <v>10</v>
      </c>
      <c r="F27" s="127">
        <v>281.66</v>
      </c>
      <c r="G27" s="127">
        <v>282.63</v>
      </c>
      <c r="H27" s="13"/>
      <c r="I27" s="7"/>
      <c r="J27" s="7"/>
      <c r="K27" s="7"/>
      <c r="L27" s="7"/>
      <c r="M27" s="7"/>
    </row>
    <row r="28" spans="1:13" ht="14.25">
      <c r="A28" s="56" t="s">
        <v>70</v>
      </c>
      <c r="B28" s="127">
        <v>326.04</v>
      </c>
      <c r="C28" s="127">
        <v>200.83</v>
      </c>
      <c r="D28" s="127">
        <v>130.63</v>
      </c>
      <c r="E28" s="142" t="s">
        <v>10</v>
      </c>
      <c r="F28" s="127">
        <v>307.73</v>
      </c>
      <c r="G28" s="127">
        <v>250.63</v>
      </c>
      <c r="H28" s="13"/>
      <c r="I28" s="7"/>
      <c r="J28" s="7"/>
      <c r="K28" s="7"/>
      <c r="L28" s="7"/>
      <c r="M28" s="7"/>
    </row>
    <row r="29" spans="1:13" ht="14.25">
      <c r="A29" s="56" t="s">
        <v>71</v>
      </c>
      <c r="B29" s="127">
        <v>301.05</v>
      </c>
      <c r="C29" s="127">
        <v>198.5</v>
      </c>
      <c r="D29" s="127">
        <v>134.5</v>
      </c>
      <c r="E29" s="142" t="s">
        <v>10</v>
      </c>
      <c r="F29" s="127">
        <v>289.45</v>
      </c>
      <c r="G29" s="127">
        <v>253</v>
      </c>
      <c r="H29" s="13"/>
      <c r="I29" s="7"/>
      <c r="J29" s="7"/>
      <c r="K29" s="7"/>
      <c r="L29" s="7"/>
      <c r="M29" s="7"/>
    </row>
    <row r="30" spans="1:13" ht="14.25">
      <c r="A30" s="56" t="s">
        <v>73</v>
      </c>
      <c r="B30" s="127">
        <v>307.7</v>
      </c>
      <c r="C30" s="127">
        <v>213.75</v>
      </c>
      <c r="D30" s="127">
        <v>134.38</v>
      </c>
      <c r="E30" s="142" t="s">
        <v>10</v>
      </c>
      <c r="F30" s="127">
        <v>262.33</v>
      </c>
      <c r="G30" s="127">
        <v>236.88</v>
      </c>
      <c r="H30" s="13"/>
      <c r="I30" s="7"/>
      <c r="J30" s="7"/>
      <c r="K30" s="7"/>
      <c r="L30" s="7"/>
      <c r="M30" s="7"/>
    </row>
    <row r="31" spans="1:8" ht="14.25">
      <c r="A31" s="143"/>
      <c r="B31" s="127"/>
      <c r="C31" s="127"/>
      <c r="D31" s="127"/>
      <c r="E31" s="142"/>
      <c r="F31" s="127"/>
      <c r="G31" s="127"/>
      <c r="H31" s="13"/>
    </row>
    <row r="32" spans="1:8" ht="14.25">
      <c r="A32" s="56" t="s">
        <v>127</v>
      </c>
      <c r="B32" s="127"/>
      <c r="C32" s="127"/>
      <c r="D32" s="127"/>
      <c r="E32" s="142"/>
      <c r="F32" s="127"/>
      <c r="G32" s="127"/>
      <c r="H32" s="13"/>
    </row>
    <row r="33" spans="1:13" ht="14.25">
      <c r="A33" s="56" t="s">
        <v>60</v>
      </c>
      <c r="B33" s="127">
        <v>315.23</v>
      </c>
      <c r="C33" s="127">
        <v>229</v>
      </c>
      <c r="D33" s="127">
        <v>153</v>
      </c>
      <c r="E33" s="142" t="s">
        <v>10</v>
      </c>
      <c r="F33" s="127">
        <v>257.73</v>
      </c>
      <c r="G33" s="127">
        <v>214</v>
      </c>
      <c r="H33" s="13"/>
      <c r="I33" s="7"/>
      <c r="J33" s="7"/>
      <c r="K33" s="7"/>
      <c r="L33" s="7"/>
      <c r="M33" s="7"/>
    </row>
    <row r="34" spans="1:13" ht="14.25">
      <c r="A34" s="56" t="s">
        <v>61</v>
      </c>
      <c r="B34" s="127">
        <v>313.52</v>
      </c>
      <c r="C34" s="127">
        <v>228.75</v>
      </c>
      <c r="D34" s="127">
        <v>165</v>
      </c>
      <c r="E34" s="142" t="s">
        <v>10</v>
      </c>
      <c r="F34" s="127">
        <v>255.74</v>
      </c>
      <c r="G34" s="127">
        <v>205</v>
      </c>
      <c r="H34" s="13"/>
      <c r="I34" s="7"/>
      <c r="J34" s="7"/>
      <c r="K34" s="7"/>
      <c r="L34" s="7"/>
      <c r="M34" s="7"/>
    </row>
    <row r="35" spans="1:8" ht="14.25">
      <c r="A35" s="56" t="s">
        <v>62</v>
      </c>
      <c r="B35" s="127">
        <v>319.22</v>
      </c>
      <c r="C35" s="127">
        <v>232.5</v>
      </c>
      <c r="D35" s="127">
        <v>185</v>
      </c>
      <c r="E35" s="142" t="s">
        <v>10</v>
      </c>
      <c r="F35" s="127">
        <v>266.53</v>
      </c>
      <c r="G35" s="127">
        <v>209.17</v>
      </c>
      <c r="H35" s="13"/>
    </row>
    <row r="36" spans="1:8" ht="14.25">
      <c r="A36" s="56" t="s">
        <v>63</v>
      </c>
      <c r="B36" s="127">
        <v>322.6</v>
      </c>
      <c r="C36" s="127">
        <v>259</v>
      </c>
      <c r="D36" s="127">
        <v>178</v>
      </c>
      <c r="E36" s="142" t="s">
        <v>10</v>
      </c>
      <c r="F36" s="127">
        <v>270.2</v>
      </c>
      <c r="G36" s="127">
        <v>215.5</v>
      </c>
      <c r="H36" s="13"/>
    </row>
    <row r="37" spans="1:13" ht="14.25">
      <c r="A37" s="144" t="s">
        <v>64</v>
      </c>
      <c r="B37" s="133">
        <v>362.85</v>
      </c>
      <c r="C37" s="133">
        <v>303.13</v>
      </c>
      <c r="D37" s="133">
        <v>185.63</v>
      </c>
      <c r="E37" s="145" t="s">
        <v>10</v>
      </c>
      <c r="F37" s="133">
        <v>315.95</v>
      </c>
      <c r="G37" s="133">
        <v>233.13</v>
      </c>
      <c r="I37" s="6"/>
      <c r="J37" s="6"/>
      <c r="K37" s="6"/>
      <c r="L37" s="6"/>
      <c r="M37" s="6"/>
    </row>
    <row r="38" spans="1:13" ht="16.5">
      <c r="A38" s="102" t="s">
        <v>186</v>
      </c>
      <c r="B38" s="146"/>
      <c r="C38" s="146"/>
      <c r="D38" s="146"/>
      <c r="E38" s="146"/>
      <c r="F38" s="146"/>
      <c r="G38" s="146"/>
      <c r="I38" s="11"/>
      <c r="J38" s="6"/>
      <c r="K38" s="6"/>
      <c r="L38" s="6"/>
      <c r="M38" s="6"/>
    </row>
    <row r="39" spans="1:13" ht="16.5">
      <c r="A39" s="102" t="s">
        <v>182</v>
      </c>
      <c r="B39" s="147"/>
      <c r="C39" s="147"/>
      <c r="D39" s="147"/>
      <c r="E39" s="147"/>
      <c r="F39" s="147"/>
      <c r="G39" s="147"/>
      <c r="I39" s="11"/>
      <c r="J39" s="6"/>
      <c r="K39" s="6"/>
      <c r="L39" s="6"/>
      <c r="M39" s="6"/>
    </row>
    <row r="40" spans="1:13" ht="14.25">
      <c r="A40" s="56" t="s">
        <v>92</v>
      </c>
      <c r="B40" s="147"/>
      <c r="C40" s="147"/>
      <c r="D40" s="147"/>
      <c r="E40" s="147"/>
      <c r="F40" s="147"/>
      <c r="G40" s="147"/>
      <c r="H40" s="1"/>
      <c r="I40" s="11"/>
      <c r="J40" s="6"/>
      <c r="K40" s="6"/>
      <c r="L40" s="6"/>
      <c r="M40" s="6"/>
    </row>
    <row r="41" spans="1:13" ht="14.25">
      <c r="A41" s="56" t="s">
        <v>183</v>
      </c>
      <c r="B41" s="56"/>
      <c r="C41" s="56"/>
      <c r="D41" s="56"/>
      <c r="E41" s="56"/>
      <c r="F41" s="56"/>
      <c r="G41" s="56"/>
      <c r="I41" s="11"/>
      <c r="J41" s="6"/>
      <c r="K41" s="6"/>
      <c r="L41" s="6"/>
      <c r="M41" s="6"/>
    </row>
    <row r="42" spans="1:13" ht="14.25">
      <c r="A42" s="56" t="s">
        <v>26</v>
      </c>
      <c r="B42" s="94">
        <f ca="1">NOW()</f>
        <v>43171.39808888889</v>
      </c>
      <c r="C42" s="56"/>
      <c r="D42" s="56"/>
      <c r="E42" s="56"/>
      <c r="F42" s="56"/>
      <c r="G42" s="56"/>
      <c r="I42" s="12"/>
      <c r="J42" s="8"/>
      <c r="K42" s="8"/>
      <c r="L42" s="8"/>
      <c r="M42" s="8"/>
    </row>
    <row r="43" spans="6:13" ht="15.75">
      <c r="F43" s="14"/>
      <c r="I43" s="12"/>
      <c r="J43" s="8"/>
      <c r="K43" s="8"/>
      <c r="L43" s="8"/>
      <c r="M43" s="8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1" spans="9:13" ht="12.75">
      <c r="I51" s="9"/>
      <c r="J51" s="9"/>
      <c r="K51" s="9"/>
      <c r="L51" s="9"/>
      <c r="M51" s="9"/>
    </row>
    <row r="52" spans="9:13" ht="12.75">
      <c r="I52" s="9"/>
      <c r="J52" s="9"/>
      <c r="K52" s="9"/>
      <c r="L52" s="9"/>
      <c r="M52" s="9"/>
    </row>
    <row r="53" ht="12.75">
      <c r="J53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139</v>
      </c>
      <c r="B1" s="21"/>
      <c r="C1" s="21"/>
      <c r="D1" s="21"/>
      <c r="E1" s="10"/>
      <c r="F1" s="10"/>
      <c r="G1" s="10"/>
    </row>
    <row r="2" spans="1:7" ht="12.75">
      <c r="A2" s="43" t="s">
        <v>140</v>
      </c>
      <c r="B2" s="21"/>
      <c r="C2" s="21"/>
      <c r="D2" s="21"/>
      <c r="E2" s="21"/>
      <c r="F2" s="21"/>
      <c r="G2" s="21"/>
    </row>
    <row r="3" spans="1:3" ht="15.75">
      <c r="A3" s="43"/>
      <c r="B3" s="14" t="s">
        <v>141</v>
      </c>
      <c r="C3" s="10"/>
    </row>
    <row r="4" spans="1:7" ht="12.75">
      <c r="A4" s="52">
        <v>1985</v>
      </c>
      <c r="B4" s="44">
        <v>536.365</v>
      </c>
      <c r="C4" s="44"/>
      <c r="D4" s="46"/>
      <c r="E4" s="47"/>
      <c r="F4" s="45"/>
      <c r="G4" s="47"/>
    </row>
    <row r="5" spans="1:7" ht="12.75">
      <c r="A5" s="52">
        <v>1986</v>
      </c>
      <c r="B5" s="44">
        <v>436.447</v>
      </c>
      <c r="C5" s="44"/>
      <c r="D5" s="46"/>
      <c r="E5" s="47"/>
      <c r="F5" s="45"/>
      <c r="G5" s="47"/>
    </row>
    <row r="6" spans="1:7" ht="12.75">
      <c r="A6" s="52">
        <v>1987</v>
      </c>
      <c r="B6" s="44">
        <v>302.476</v>
      </c>
      <c r="C6" s="44"/>
      <c r="D6" s="45"/>
      <c r="E6" s="47"/>
      <c r="F6" s="45"/>
      <c r="G6" s="47"/>
    </row>
    <row r="7" spans="1:7" ht="12.75">
      <c r="A7" s="52">
        <v>1988</v>
      </c>
      <c r="B7" s="44">
        <v>182.029</v>
      </c>
      <c r="C7" s="44"/>
      <c r="D7" s="45"/>
      <c r="E7" s="47"/>
      <c r="F7" s="45"/>
      <c r="G7" s="47"/>
    </row>
    <row r="8" spans="1:7" ht="12.75">
      <c r="A8" s="52">
        <v>1989</v>
      </c>
      <c r="B8" s="44">
        <v>239.139</v>
      </c>
      <c r="C8" s="44"/>
      <c r="D8" s="45"/>
      <c r="E8" s="47"/>
      <c r="F8" s="45"/>
      <c r="G8" s="47"/>
    </row>
    <row r="9" spans="1:7" ht="12.75">
      <c r="A9" s="52">
        <v>1990</v>
      </c>
      <c r="B9" s="44">
        <v>329.042</v>
      </c>
      <c r="C9" s="44"/>
      <c r="D9" s="45"/>
      <c r="E9" s="47"/>
      <c r="F9" s="45"/>
      <c r="G9" s="47"/>
    </row>
    <row r="10" spans="1:7" ht="12.75">
      <c r="A10" s="52">
        <v>1991</v>
      </c>
      <c r="B10" s="44">
        <v>278.437</v>
      </c>
      <c r="C10" s="44"/>
      <c r="D10" s="45"/>
      <c r="E10" s="47"/>
      <c r="F10" s="45"/>
      <c r="G10" s="47"/>
    </row>
    <row r="11" spans="1:7" ht="12.75">
      <c r="A11" s="52">
        <v>1992</v>
      </c>
      <c r="B11" s="44">
        <v>292.284</v>
      </c>
      <c r="C11" s="44"/>
      <c r="D11" s="45"/>
      <c r="E11" s="47"/>
      <c r="F11" s="45"/>
      <c r="G11" s="47"/>
    </row>
    <row r="12" spans="1:7" ht="12.75">
      <c r="A12" s="52">
        <v>1993</v>
      </c>
      <c r="B12" s="44">
        <v>209.117</v>
      </c>
      <c r="C12" s="44"/>
      <c r="D12" s="45"/>
      <c r="E12" s="47"/>
      <c r="F12" s="45"/>
      <c r="G12" s="47"/>
    </row>
    <row r="13" spans="1:7" ht="12.75">
      <c r="A13" s="52">
        <v>1994</v>
      </c>
      <c r="B13" s="44">
        <v>334.814</v>
      </c>
      <c r="C13" s="44"/>
      <c r="D13" s="45"/>
      <c r="E13" s="47"/>
      <c r="F13" s="45"/>
      <c r="G13" s="47"/>
    </row>
    <row r="14" spans="1:7" ht="12.75">
      <c r="A14" s="52">
        <v>1995</v>
      </c>
      <c r="B14" s="44">
        <v>183.458</v>
      </c>
      <c r="C14" s="44"/>
      <c r="D14" s="45"/>
      <c r="E14" s="47"/>
      <c r="F14" s="45"/>
      <c r="G14" s="47"/>
    </row>
    <row r="15" spans="1:7" ht="12.75">
      <c r="A15" s="52">
        <v>1996</v>
      </c>
      <c r="B15" s="44">
        <v>131.833</v>
      </c>
      <c r="C15" s="44"/>
      <c r="D15" s="45"/>
      <c r="E15" s="47"/>
      <c r="F15" s="45"/>
      <c r="G15" s="47"/>
    </row>
    <row r="16" spans="1:7" ht="12.75">
      <c r="A16" s="52">
        <v>1997</v>
      </c>
      <c r="B16" s="44">
        <v>199.799</v>
      </c>
      <c r="C16" s="44"/>
      <c r="D16" s="45"/>
      <c r="E16" s="47"/>
      <c r="F16" s="45"/>
      <c r="G16" s="47"/>
    </row>
    <row r="17" spans="1:7" ht="12.75">
      <c r="A17" s="52">
        <v>1998</v>
      </c>
      <c r="B17" s="44">
        <v>348.482</v>
      </c>
      <c r="C17" s="44"/>
      <c r="D17" s="45"/>
      <c r="E17" s="47"/>
      <c r="F17" s="45"/>
      <c r="G17" s="47"/>
    </row>
    <row r="18" spans="1:7" ht="12.75">
      <c r="A18" s="52">
        <v>1999</v>
      </c>
      <c r="B18" s="44">
        <v>290.162</v>
      </c>
      <c r="C18" s="44"/>
      <c r="D18" s="45"/>
      <c r="E18" s="47"/>
      <c r="F18" s="45"/>
      <c r="G18" s="47"/>
    </row>
    <row r="19" spans="1:7" ht="12.75">
      <c r="A19" s="52">
        <v>2000</v>
      </c>
      <c r="B19" s="44">
        <v>247.747</v>
      </c>
      <c r="C19" s="44"/>
      <c r="D19" s="45"/>
      <c r="E19" s="47"/>
      <c r="F19" s="45"/>
      <c r="G19" s="47"/>
    </row>
    <row r="20" spans="1:7" ht="12.75">
      <c r="A20" s="52">
        <v>2001</v>
      </c>
      <c r="B20" s="44">
        <v>208.061</v>
      </c>
      <c r="C20" s="44"/>
      <c r="D20" s="45"/>
      <c r="E20" s="47"/>
      <c r="F20" s="45"/>
      <c r="G20" s="47"/>
    </row>
    <row r="21" spans="1:7" ht="12.75">
      <c r="A21" s="52">
        <v>2002</v>
      </c>
      <c r="B21" s="44">
        <v>178.329</v>
      </c>
      <c r="C21" s="44"/>
      <c r="D21" s="45"/>
      <c r="E21" s="47"/>
      <c r="F21" s="45"/>
      <c r="G21" s="47"/>
    </row>
    <row r="22" spans="1:7" ht="12.75">
      <c r="A22" s="52">
        <v>2003</v>
      </c>
      <c r="B22" s="44">
        <v>112.414</v>
      </c>
      <c r="C22" s="44"/>
      <c r="D22" s="45"/>
      <c r="E22" s="47"/>
      <c r="F22" s="45"/>
      <c r="G22" s="47"/>
    </row>
    <row r="23" spans="1:6" ht="12.75">
      <c r="A23" s="52">
        <v>2004</v>
      </c>
      <c r="B23" s="44">
        <v>255.738</v>
      </c>
      <c r="C23" s="44"/>
      <c r="D23" s="45"/>
      <c r="E23" s="47"/>
      <c r="F23" s="44"/>
    </row>
    <row r="24" spans="1:6" ht="12.75">
      <c r="A24" s="52">
        <v>2005</v>
      </c>
      <c r="B24" s="44">
        <v>449.326</v>
      </c>
      <c r="C24" s="44"/>
      <c r="D24" s="45"/>
      <c r="E24" s="47"/>
      <c r="F24" s="44"/>
    </row>
    <row r="25" spans="1:6" ht="12.75">
      <c r="A25" s="52">
        <v>2006</v>
      </c>
      <c r="B25" s="44">
        <v>573.81</v>
      </c>
      <c r="C25" s="47"/>
      <c r="D25" s="45"/>
      <c r="E25" s="47"/>
      <c r="F25" s="44"/>
    </row>
    <row r="26" spans="1:6" ht="12.75">
      <c r="A26" s="52">
        <v>2007</v>
      </c>
      <c r="B26" s="44">
        <v>205.034</v>
      </c>
      <c r="C26" s="44"/>
      <c r="D26" s="45"/>
      <c r="E26" s="47"/>
      <c r="F26" s="44"/>
    </row>
    <row r="27" spans="1:6" ht="12.75">
      <c r="A27" s="52">
        <v>2008</v>
      </c>
      <c r="B27" s="44">
        <v>138.198</v>
      </c>
      <c r="C27" s="44"/>
      <c r="D27" s="45"/>
      <c r="E27" s="47"/>
      <c r="F27" s="44"/>
    </row>
    <row r="28" spans="1:6" ht="12.75">
      <c r="A28" s="52">
        <v>2009</v>
      </c>
      <c r="B28" s="44">
        <v>150.885</v>
      </c>
      <c r="C28" s="44"/>
      <c r="D28" s="45"/>
      <c r="E28" s="47"/>
      <c r="F28" s="44"/>
    </row>
    <row r="29" spans="1:6" ht="12.75">
      <c r="A29" s="52">
        <v>2010</v>
      </c>
      <c r="B29" s="44">
        <v>215.013</v>
      </c>
      <c r="C29" s="44"/>
      <c r="D29" s="45"/>
      <c r="E29" s="47"/>
      <c r="F29" s="44"/>
    </row>
    <row r="30" spans="1:6" ht="12.75">
      <c r="A30" s="52">
        <v>2011</v>
      </c>
      <c r="B30" s="44">
        <v>169.37</v>
      </c>
      <c r="C30" s="44"/>
      <c r="D30" s="45"/>
      <c r="E30" s="47"/>
      <c r="F30" s="44"/>
    </row>
    <row r="31" spans="1:6" ht="12.75">
      <c r="A31" s="52">
        <v>2012</v>
      </c>
      <c r="B31" s="44">
        <v>140.557</v>
      </c>
      <c r="C31" s="44"/>
      <c r="D31" s="45"/>
      <c r="E31" s="47"/>
      <c r="F31" s="44"/>
    </row>
    <row r="32" spans="1:6" ht="12.75">
      <c r="A32" s="52">
        <v>2013</v>
      </c>
      <c r="B32" s="44">
        <v>91.991</v>
      </c>
      <c r="C32" s="44"/>
      <c r="D32" s="45"/>
      <c r="E32" s="47"/>
      <c r="F32" s="44"/>
    </row>
    <row r="33" spans="1:6" ht="12.75">
      <c r="A33" s="52">
        <v>2014</v>
      </c>
      <c r="B33" s="44">
        <v>190.61</v>
      </c>
      <c r="C33" s="44"/>
      <c r="D33" s="45"/>
      <c r="E33" s="47"/>
      <c r="F33" s="44"/>
    </row>
    <row r="34" spans="1:6" ht="12.75">
      <c r="A34" s="52">
        <v>2015</v>
      </c>
      <c r="B34" s="44">
        <v>196.729</v>
      </c>
      <c r="C34" s="44"/>
      <c r="D34" s="45"/>
      <c r="E34" s="47"/>
      <c r="F34" s="44"/>
    </row>
    <row r="35" spans="1:6" ht="12.75">
      <c r="A35" s="52">
        <v>2016</v>
      </c>
      <c r="B35" s="44">
        <v>301.595</v>
      </c>
      <c r="C35" s="44"/>
      <c r="D35" s="45"/>
      <c r="E35" s="47"/>
      <c r="F35" s="44"/>
    </row>
    <row r="36" spans="1:6" ht="12.75">
      <c r="A36" s="52">
        <v>2017</v>
      </c>
      <c r="B36" s="44">
        <v>580</v>
      </c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OCS-18c, March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2018-03-12T13:33:34Z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