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1'!$A$1:$N$41</definedName>
    <definedName name="_xlnm.Print_Area" localSheetId="7">'Table 10'!$A$1:$G$37</definedName>
    <definedName name="_xlnm.Print_Area" localSheetId="2">'Table 2'!$A$1:$J$41</definedName>
    <definedName name="_xlnm.Print_Area" localSheetId="3">'Table 3'!$A$1:$M$43</definedName>
    <definedName name="_xlnm.Print_Area" localSheetId="5">'Table 8'!$A$1:$G$36</definedName>
    <definedName name="_xlnm.Print_Area" localSheetId="6">'Table 9'!$A$1:$I$37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<sst xmlns="http://schemas.openxmlformats.org/spreadsheetml/2006/main" count="509" uniqueCount="200">
  <si>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</si>
  <si>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</si>
  <si>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</si>
  <si>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</si>
  <si>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</si>
  <si>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</si>
  <si>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</si>
  <si>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</si>
  <si>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</si>
  <si>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</si>
  <si>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</si>
  <si>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</si>
  <si>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</si>
  <si>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</si>
  <si>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</si>
  <si>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</si>
  <si>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</si>
  <si>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</si>
  <si>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</si>
  <si>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</si>
  <si>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</si>
  <si>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</si>
  <si>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</si>
  <si>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</si>
  <si>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</si>
  <si>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</si>
  <si>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</si>
  <si>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</si>
  <si>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</si>
  <si>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</si>
  <si>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</si>
  <si>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</si>
  <si>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</si>
  <si>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</si>
  <si>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</si>
  <si>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</si>
  <si>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</si>
  <si>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</si>
  <si>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</si>
  <si>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</si>
  <si>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</si>
  <si>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</si>
  <si>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</si>
  <si>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</si>
  <si>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</si>
  <si>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</si>
  <si>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</si>
  <si>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</si>
  <si>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</si>
  <si>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</si>
  <si>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</si>
  <si>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</si>
  <si>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</si>
  <si>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</si>
  <si>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</si>
  <si>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</si>
  <si>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</si>
  <si>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</si>
  <si>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</si>
  <si>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</si>
  <si>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</si>
  <si>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</si>
  <si>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</si>
  <si>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</si>
  <si>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</si>
  <si>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</si>
  <si>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</si>
  <si>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</si>
  <si>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</si>
  <si>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</si>
  <si>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</si>
  <si>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</si>
  <si>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</si>
  <si>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</si>
  <si>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</si>
  <si>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</si>
  <si>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</si>
  <si>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</si>
  <si>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</si>
  <si>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</si>
  <si>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</si>
  <si>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</si>
  <si>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</si>
  <si>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</si>
  <si>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</si>
  <si>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</si>
  <si>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</si>
  <si>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</si>
  <si>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</si>
  <si>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</si>
  <si>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</si>
  <si>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</si>
  <si>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</si>
  <si>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</si>
  <si>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</si>
  <si>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</si>
  <si>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</si>
  <si>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</si>
  <si>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</si>
  <si>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</si>
  <si>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</si>
  <si>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</si>
  <si>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</si>
  <si>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</si>
  <si>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</si>
  <si>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</si>
  <si>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</si>
  <si>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</si>
  <si>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</si>
  <si>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</si>
  <si>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</si>
  <si>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</si>
  <si>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</si>
  <si>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</si>
  <si>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</si>
  <si>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</si>
  <si>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</si>
  <si>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</si>
  <si>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</si>
  <si>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</si>
  <si>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</si>
  <si>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</si>
  <si>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</si>
  <si>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</si>
  <si>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</si>
  <si>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</si>
  <si>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</si>
  <si>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</si>
  <si>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</si>
  <si>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</si>
  <si>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</si>
  <si>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</si>
  <si>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</si>
  <si>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</si>
  <si>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</si>
  <si>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</si>
  <si>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</si>
  <si>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</si>
  <si>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</si>
  <si>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</si>
  <si>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</si>
  <si>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</si>
  <si>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</si>
  <si>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</si>
  <si>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</si>
  <si>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</si>
  <si>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</si>
  <si>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</si>
  <si>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</si>
  <si>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</si>
  <si>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</si>
  <si>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</si>
  <si>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</si>
  <si>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</si>
  <si>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</si>
  <si>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</si>
  <si>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</si>
  <si>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</si>
  <si>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</si>
  <si>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</si>
  <si>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</si>
  <si>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</si>
  <si>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</si>
  <si>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</si>
  <si>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</si>
  <si>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</si>
  <si>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</si>
  <si>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</si>
  <si>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</si>
  <si>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</si>
  <si>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</si>
  <si>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</si>
  <si>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</si>
  <si>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195-235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</si>
  <si>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</si>
  <si>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</si>
  <si>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</si>
  <si>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</si>
  <si>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</si>
  <si>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</si>
  <si>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</si>
  <si>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</si>
  <si>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</si>
  <si>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</si>
  <si>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</si>
  <si>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</si>
  <si>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</si>
  <si>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135-175</t>
  </si>
  <si>
    <t>240-280</t>
  </si>
  <si>
    <t>8.45-10.15</t>
  </si>
  <si>
    <t>15.65-18.45</t>
  </si>
  <si>
    <t>16.40-19.20</t>
  </si>
  <si>
    <t>7.90-9.60</t>
  </si>
  <si>
    <t>imports</t>
  </si>
  <si>
    <t>China</t>
  </si>
  <si>
    <t>soybean</t>
  </si>
  <si>
    <t>soybean meal</t>
  </si>
  <si>
    <t>consumption</t>
  </si>
  <si>
    <t>Peanuts</t>
  </si>
  <si>
    <t>Yield (right axis)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</si>
</sst>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acreage and high yields raise U.S. peanut harvest to an all-time high         </a:t>
            </a:r>
          </a:p>
        </c:rich>
      </c:tx>
      <c:layout>
        <c:manualLayout>
          <c:xMode val="factor"/>
          <c:yMode val="factor"/>
          <c:x val="-0.103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275"/>
          <c:w val="0.87825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1'!$A$3:$A$10</c:f>
              <c:strCache/>
            </c:strRef>
          </c:cat>
          <c:val>
            <c:numRef>
              <c:f>'Oil Crops Chart Gallery Fig 1'!$B$3:$B$10</c:f>
              <c:numCache/>
            </c:numRef>
          </c:val>
        </c:ser>
        <c:axId val="24574513"/>
        <c:axId val="19844026"/>
      </c:barChart>
      <c:lineChart>
        <c:grouping val="standard"/>
        <c:varyColors val="0"/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1'!$A$3:$A$10</c:f>
              <c:strCache/>
            </c:strRef>
          </c:cat>
          <c:val>
            <c:numRef>
              <c:f>'Oil Crops Chart Gallery Fig 1'!$C$3:$C$10</c:f>
              <c:numCache/>
            </c:numRef>
          </c:val>
          <c:smooth val="0"/>
        </c:ser>
        <c:axId val="44378507"/>
        <c:axId val="63862244"/>
      </c:lineChart>
      <c:catAx>
        <c:axId val="2457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844026"/>
        <c:crosses val="autoZero"/>
        <c:auto val="1"/>
        <c:lblOffset val="100"/>
        <c:tickLblSkip val="1"/>
        <c:noMultiLvlLbl val="0"/>
      </c:catAx>
      <c:valAx>
        <c:axId val="19844026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4574513"/>
        <c:crossesAt val="1"/>
        <c:crossBetween val="between"/>
        <c:dispUnits/>
        <c:majorUnit val="1000"/>
      </c:valAx>
      <c:catAx>
        <c:axId val="44378507"/>
        <c:scaling>
          <c:orientation val="minMax"/>
        </c:scaling>
        <c:axPos val="b"/>
        <c:delete val="1"/>
        <c:majorTickMark val="out"/>
        <c:minorTickMark val="none"/>
        <c:tickLblPos val="nextTo"/>
        <c:crossAx val="63862244"/>
        <c:crosses val="autoZero"/>
        <c:auto val="1"/>
        <c:lblOffset val="100"/>
        <c:tickLblSkip val="1"/>
        <c:noMultiLvlLbl val="0"/>
      </c:catAx>
      <c:valAx>
        <c:axId val="63862244"/>
        <c:scaling>
          <c:orientation val="minMax"/>
          <c:max val="45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Pounds/acre</a:t>
                </a:r>
              </a:p>
            </c:rich>
          </c:tx>
          <c:layout>
            <c:manualLayout>
              <c:xMode val="factor"/>
              <c:yMode val="factor"/>
              <c:x val="0.04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4378507"/>
        <c:crosses val="max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20175"/>
          <c:w val="0.1617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China's soybean imports propelled by growth in soybean meal consumption  </a:t>
            </a:r>
          </a:p>
        </c:rich>
      </c:tx>
      <c:layout>
        <c:manualLayout>
          <c:xMode val="factor"/>
          <c:yMode val="factor"/>
          <c:x val="-0.106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2'!$B$1:$B$2</c:f>
              <c:strCache>
                <c:ptCount val="1"/>
                <c:pt idx="0">
                  <c:v>soybean imports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2'!$C$1:$C$2</c:f>
              <c:strCache>
                <c:ptCount val="1"/>
                <c:pt idx="0">
                  <c:v>soybean meal consumption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37889285"/>
        <c:axId val="5459246"/>
      </c:barChart>
      <c:catAx>
        <c:axId val="37889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246"/>
        <c:crosses val="autoZero"/>
        <c:auto val="1"/>
        <c:lblOffset val="100"/>
        <c:tickLblSkip val="1"/>
        <c:noMultiLvlLbl val="0"/>
      </c:catAx>
      <c:valAx>
        <c:axId val="545924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7889285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38100</xdr:rowOff>
    </xdr:from>
    <xdr:to>
      <xdr:col>14</xdr:col>
      <xdr:colOff>571500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600325" y="38100"/>
        <a:ext cx="69818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42" customWidth="1"/>
    <col min="2" max="16384" width="9.7109375" style="134" customWidth="1"/>
  </cols>
  <sheetData>
    <row r="1" ht="44.25" customHeight="1">
      <c r="A1" s="133"/>
    </row>
    <row r="2" ht="18">
      <c r="A2" s="135" t="s">
        <v>181</v>
      </c>
    </row>
    <row r="3" s="137" customFormat="1" ht="11.25">
      <c r="A3" s="136"/>
    </row>
    <row r="4" ht="12.75">
      <c r="A4" s="138" t="s">
        <v>182</v>
      </c>
    </row>
    <row r="5" spans="1:2" ht="12.75">
      <c r="A5" s="146">
        <f ca="1">TODAY()</f>
        <v>43052</v>
      </c>
      <c r="B5" s="139"/>
    </row>
    <row r="6" spans="1:3" s="137" customFormat="1" ht="12.75">
      <c r="A6" s="136"/>
      <c r="B6" s="139"/>
      <c r="C6" s="140"/>
    </row>
    <row r="7" spans="1:3" ht="12.75">
      <c r="A7" s="145" t="s">
        <v>89</v>
      </c>
      <c r="B7" s="141"/>
      <c r="C7" s="137"/>
    </row>
    <row r="8" spans="1:2" ht="12.75">
      <c r="A8" s="145" t="s">
        <v>23</v>
      </c>
      <c r="B8" s="143"/>
    </row>
    <row r="9" spans="1:2" ht="12.75">
      <c r="A9" s="145" t="s">
        <v>25</v>
      </c>
      <c r="B9" s="143"/>
    </row>
    <row r="10" spans="1:2" ht="12.75">
      <c r="A10" s="145" t="s">
        <v>11</v>
      </c>
      <c r="B10" s="143"/>
    </row>
    <row r="11" spans="1:2" ht="12.75">
      <c r="A11" s="145" t="s">
        <v>12</v>
      </c>
      <c r="B11" s="143"/>
    </row>
    <row r="12" spans="1:2" ht="12.75">
      <c r="A12" s="145" t="s">
        <v>13</v>
      </c>
      <c r="B12" s="143"/>
    </row>
    <row r="13" spans="1:2" ht="12.75">
      <c r="A13" s="145" t="s">
        <v>14</v>
      </c>
      <c r="B13" s="143"/>
    </row>
    <row r="14" spans="1:2" ht="12.75">
      <c r="A14" s="145" t="s">
        <v>65</v>
      </c>
      <c r="B14" s="143"/>
    </row>
    <row r="15" spans="1:2" ht="12.75">
      <c r="A15" s="145" t="s">
        <v>22</v>
      </c>
      <c r="B15" s="143"/>
    </row>
    <row r="16" spans="1:2" ht="12.75">
      <c r="A16" s="145" t="s">
        <v>44</v>
      </c>
      <c r="B16" s="143"/>
    </row>
    <row r="17" spans="1:2" ht="12.75">
      <c r="A17" s="144" t="s">
        <v>183</v>
      </c>
      <c r="B17" s="143"/>
    </row>
    <row r="18" ht="12.75">
      <c r="A18" s="144" t="s">
        <v>184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194</v>
      </c>
      <c r="B1" s="101" t="s">
        <v>195</v>
      </c>
      <c r="C1" s="101" t="s">
        <v>196</v>
      </c>
      <c r="E1" s="10"/>
      <c r="F1" s="101"/>
    </row>
    <row r="2" spans="1:3" ht="12.75">
      <c r="A2" s="101"/>
      <c r="B2" s="10" t="s">
        <v>193</v>
      </c>
      <c r="C2" s="10" t="s">
        <v>197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59.231</v>
      </c>
      <c r="C4" s="132">
        <v>47.435</v>
      </c>
      <c r="D4" s="115"/>
      <c r="E4" s="115"/>
      <c r="F4" s="115"/>
    </row>
    <row r="5" spans="1:6" ht="15.75">
      <c r="A5" s="15" t="s">
        <v>118</v>
      </c>
      <c r="B5" s="13">
        <v>59.865</v>
      </c>
      <c r="C5" s="132">
        <v>50.091</v>
      </c>
      <c r="D5" s="115"/>
      <c r="E5" s="115"/>
      <c r="F5" s="115"/>
    </row>
    <row r="6" spans="1:6" ht="15.75">
      <c r="A6" s="15" t="s">
        <v>126</v>
      </c>
      <c r="B6" s="13">
        <v>70.364</v>
      </c>
      <c r="C6" s="132">
        <v>52.534</v>
      </c>
      <c r="D6" s="115"/>
      <c r="E6" s="115"/>
      <c r="F6" s="115"/>
    </row>
    <row r="7" spans="1:6" ht="15.75">
      <c r="A7" s="15" t="s">
        <v>129</v>
      </c>
      <c r="B7" s="13">
        <v>78.35</v>
      </c>
      <c r="C7" s="132">
        <v>57.467</v>
      </c>
      <c r="D7" s="115"/>
      <c r="E7" s="102"/>
      <c r="F7" s="115"/>
    </row>
    <row r="8" spans="1:6" ht="15.75">
      <c r="A8" s="15" t="s">
        <v>140</v>
      </c>
      <c r="B8" s="13">
        <v>83.23</v>
      </c>
      <c r="C8" s="132">
        <v>62.663</v>
      </c>
      <c r="D8" s="115"/>
      <c r="E8" s="102"/>
      <c r="F8" s="115"/>
    </row>
    <row r="9" spans="1:6" ht="15.75">
      <c r="A9" s="15" t="s">
        <v>163</v>
      </c>
      <c r="B9" s="13">
        <v>93.495</v>
      </c>
      <c r="C9" s="132">
        <v>68.646</v>
      </c>
      <c r="D9" s="115"/>
      <c r="E9" s="102"/>
      <c r="F9" s="115"/>
    </row>
    <row r="10" spans="1:6" ht="15.75">
      <c r="A10" s="15" t="s">
        <v>170</v>
      </c>
      <c r="B10" s="13">
        <v>97</v>
      </c>
      <c r="C10" s="132">
        <v>73.87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0" t="s">
        <v>27</v>
      </c>
      <c r="C2" s="150"/>
      <c r="D2" s="16" t="s">
        <v>30</v>
      </c>
      <c r="E2" s="150" t="s">
        <v>119</v>
      </c>
      <c r="F2" s="150"/>
      <c r="G2" s="150"/>
      <c r="H2" s="150"/>
      <c r="I2" s="17"/>
      <c r="J2" s="150" t="s">
        <v>86</v>
      </c>
      <c r="K2" s="150"/>
      <c r="L2" s="150"/>
      <c r="M2" s="150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8" t="s">
        <v>120</v>
      </c>
      <c r="C5" s="149"/>
      <c r="D5" s="66" t="s">
        <v>91</v>
      </c>
      <c r="E5" s="148" t="s">
        <v>122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.75">
      <c r="A6" s="15" t="s">
        <v>168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v>3926.339</v>
      </c>
      <c r="G6" s="94">
        <v>23.5406396308524</v>
      </c>
      <c r="H6" s="94">
        <f>SUM(E6:G6)</f>
        <v>4140.489639630852</v>
      </c>
      <c r="I6" s="21"/>
      <c r="J6" s="67">
        <v>1886.2368000000001</v>
      </c>
      <c r="K6" s="67">
        <f>M6-J6-L6</f>
        <v>115.2675503874541</v>
      </c>
      <c r="L6" s="94">
        <v>1942.2562892433982</v>
      </c>
      <c r="M6" s="94">
        <f>+H6-N6</f>
        <v>3943.7606396308524</v>
      </c>
      <c r="N6" s="94">
        <v>196.729</v>
      </c>
    </row>
    <row r="7" spans="1:14" ht="18.75">
      <c r="A7" s="15" t="s">
        <v>159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F19</f>
        <v>4296.086</v>
      </c>
      <c r="G7" s="94">
        <f>G32</f>
        <v>22.241776548522303</v>
      </c>
      <c r="H7" s="94">
        <f>SUM(E7:G7)</f>
        <v>4515.056776548523</v>
      </c>
      <c r="J7" s="67">
        <f>J32</f>
        <v>1898.9575333333332</v>
      </c>
      <c r="K7" s="67">
        <f>M7-J7-L7</f>
        <v>141.11770147792322</v>
      </c>
      <c r="L7" s="94">
        <f>L32</f>
        <v>2173.652541737267</v>
      </c>
      <c r="M7" s="94">
        <f>+H7-N7</f>
        <v>4213.727776548523</v>
      </c>
      <c r="N7" s="94">
        <f>N31</f>
        <v>301.329</v>
      </c>
    </row>
    <row r="8" spans="1:14" ht="18.75">
      <c r="A8" s="15" t="s">
        <v>167</v>
      </c>
      <c r="B8" s="77">
        <v>90.207</v>
      </c>
      <c r="C8" s="77">
        <v>89.471</v>
      </c>
      <c r="D8" s="77">
        <f>+F8/C8</f>
        <v>49.46048440276738</v>
      </c>
      <c r="E8" s="96">
        <f>N7</f>
        <v>301.329</v>
      </c>
      <c r="F8" s="67">
        <f>F36</f>
        <v>4425.279</v>
      </c>
      <c r="G8" s="94">
        <v>25.45</v>
      </c>
      <c r="H8" s="94">
        <f>SUM(E8:G8)</f>
        <v>4752.058</v>
      </c>
      <c r="J8" s="67">
        <v>1940</v>
      </c>
      <c r="K8" s="67">
        <f>M8-J8-L8</f>
        <v>137.058</v>
      </c>
      <c r="L8" s="94">
        <v>2250</v>
      </c>
      <c r="M8" s="94">
        <f>+H8-N8</f>
        <v>4327.058</v>
      </c>
      <c r="N8" s="94">
        <v>425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0" t="s">
        <v>119</v>
      </c>
      <c r="F11" s="150"/>
      <c r="G11" s="150"/>
      <c r="H11" s="150"/>
      <c r="I11" s="17"/>
      <c r="J11" s="150" t="s">
        <v>86</v>
      </c>
      <c r="K11" s="150"/>
      <c r="L11" s="150"/>
      <c r="M11" s="150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3"/>
      <c r="H15" s="91"/>
      <c r="I15" s="91"/>
      <c r="J15" s="91"/>
      <c r="K15" s="120"/>
      <c r="L15" s="93"/>
      <c r="M15" s="26"/>
      <c r="N15" s="121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3">
        <f>(12.140982+44.365888+5.969151)*2.204622/60</f>
        <v>2.2956001728177</v>
      </c>
      <c r="H16" s="91"/>
      <c r="I16" s="91"/>
      <c r="J16" s="91">
        <f>4.148008*2000/60</f>
        <v>138.26693333333333</v>
      </c>
      <c r="K16" s="120"/>
      <c r="L16" s="93">
        <f>(34.073378+3681.848)*2.204622/60</f>
        <v>136.53670033681863</v>
      </c>
      <c r="M16" s="26"/>
      <c r="N16" s="121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3">
        <f>(13.811565+29.41625+4.478324)*2.204622/60</f>
        <v>1.7529000595743</v>
      </c>
      <c r="H17" s="91"/>
      <c r="I17" s="91"/>
      <c r="J17" s="91">
        <f>5.276415*2000/60</f>
        <v>175.8805</v>
      </c>
      <c r="K17" s="120"/>
      <c r="L17" s="93">
        <f>(69.837116+11147.093)*2.204622/60</f>
        <v>412.1515151032693</v>
      </c>
      <c r="M17" s="26"/>
      <c r="N17" s="121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3">
        <f>(6.25616+26.146455+5.06881)*2.204622/60</f>
        <v>1.3768387987725</v>
      </c>
      <c r="H18" s="91"/>
      <c r="I18" s="91"/>
      <c r="J18" s="91">
        <f>5.122038*2000/60</f>
        <v>170.73459999999997</v>
      </c>
      <c r="K18" s="120"/>
      <c r="L18" s="93">
        <f>(56.047981+10209.532)*2.204622/60</f>
        <v>377.19539114786966</v>
      </c>
      <c r="M18" s="26"/>
      <c r="N18" s="121"/>
    </row>
    <row r="19" spans="1:14" ht="18.75" customHeight="1">
      <c r="A19" s="15" t="s">
        <v>105</v>
      </c>
      <c r="B19" s="17"/>
      <c r="C19" s="17"/>
      <c r="D19" s="17"/>
      <c r="E19" s="91">
        <v>196.729</v>
      </c>
      <c r="F19" s="23">
        <v>4296.086</v>
      </c>
      <c r="G19" s="93">
        <f>G16+G17+G18</f>
        <v>5.4253390311645</v>
      </c>
      <c r="H19" s="91">
        <f>SUM(E19:G19)</f>
        <v>4498.240339031165</v>
      </c>
      <c r="I19" s="91"/>
      <c r="J19" s="91">
        <f>J16+J17+J18</f>
        <v>484.8820333333333</v>
      </c>
      <c r="K19" s="92">
        <f>M19-L19-J19</f>
        <v>189.09569910987398</v>
      </c>
      <c r="L19" s="93">
        <f>L16+L17+L18</f>
        <v>925.8836065879575</v>
      </c>
      <c r="M19" s="93">
        <f>H19-N19</f>
        <v>1599.8613390311648</v>
      </c>
      <c r="N19" s="91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3">
        <f>(4.172442+23.85058+3.852958)*2.204622/60</f>
        <v>1.1712414463260001</v>
      </c>
      <c r="H20" s="91"/>
      <c r="I20" s="91"/>
      <c r="J20" s="91">
        <f>5.071493*2000/60</f>
        <v>169.04976666666667</v>
      </c>
      <c r="K20" s="93"/>
      <c r="L20" s="93">
        <f>(40.570246+7941.343)*2.204622/60</f>
        <v>293.2850257370502</v>
      </c>
      <c r="M20" s="26"/>
      <c r="N20" s="121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3">
        <f>(9.076343+55.123913+23.018611)*2.204622/60</f>
        <v>3.2047438833879</v>
      </c>
      <c r="H21" s="91"/>
      <c r="I21" s="91"/>
      <c r="J21" s="91">
        <f>5.124204*2000/60</f>
        <v>170.80679999999998</v>
      </c>
      <c r="K21" s="93"/>
      <c r="L21" s="93">
        <f>(56.504787+7366.494)*2.204622/60</f>
        <v>272.74844052989187</v>
      </c>
      <c r="M21" s="26"/>
      <c r="N21" s="121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3">
        <f>(12.779452+42.072277+6.673116)*2.204622/60</f>
        <v>2.2606504472265003</v>
      </c>
      <c r="H22" s="91"/>
      <c r="I22" s="91"/>
      <c r="J22" s="91">
        <f>4.530088*2000/60</f>
        <v>151.00293333333332</v>
      </c>
      <c r="K22" s="93"/>
      <c r="L22" s="93">
        <f>(49.270676+4366.775)*2.204622/60</f>
        <v>162.26185750524118</v>
      </c>
      <c r="M22" s="26"/>
      <c r="N22" s="121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3">
        <f>SUM(G20:G22)</f>
        <v>6.6366357769404</v>
      </c>
      <c r="H23" s="91">
        <f>E23+F23+G23</f>
        <v>2905.01563577694</v>
      </c>
      <c r="I23" s="91"/>
      <c r="J23" s="91">
        <f>SUM(J20:J22)</f>
        <v>490.85949999999997</v>
      </c>
      <c r="K23" s="92">
        <f>M23-L23-J23</f>
        <v>-52.82618799524295</v>
      </c>
      <c r="L23" s="93">
        <f>SUM(L20:L22)</f>
        <v>728.2953237721832</v>
      </c>
      <c r="M23" s="93">
        <f>H23-N23</f>
        <v>1166.3286357769402</v>
      </c>
      <c r="N23" s="91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3">
        <f>(12.811388+30.642647+17.025345)*2.204622/60</f>
        <v>2.2222361949060003</v>
      </c>
      <c r="H24" s="91"/>
      <c r="I24" s="91"/>
      <c r="J24" s="91">
        <f>4.800052*2000/60</f>
        <v>160.00173333333333</v>
      </c>
      <c r="K24" s="92"/>
      <c r="L24" s="93">
        <f>(69.313126+3051.288)*2.204622/60</f>
        <v>114.6624315934062</v>
      </c>
      <c r="M24" s="93"/>
      <c r="N24" s="91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3">
        <f>(8.582125+28.967068+6.119378)*2.204622/60</f>
        <v>1.6045448722527</v>
      </c>
      <c r="H25" s="91"/>
      <c r="I25" s="91"/>
      <c r="J25" s="91">
        <f>4.492906*2000/60</f>
        <v>149.76353333333333</v>
      </c>
      <c r="K25" s="92"/>
      <c r="L25" s="93">
        <f>(62.294194+2370.22)*2.204622/60</f>
        <v>89.37957179007779</v>
      </c>
      <c r="M25" s="93"/>
      <c r="N25" s="91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3">
        <f>(8.8507+42.500566+6.529572)*2.204622/60</f>
        <v>2.1267561472206</v>
      </c>
      <c r="H26" s="91"/>
      <c r="I26" s="91"/>
      <c r="J26" s="91">
        <f>4.739387*2000/60</f>
        <v>157.97956666666667</v>
      </c>
      <c r="K26" s="92"/>
      <c r="L26" s="93">
        <f>(48.508116+1401.462)*2.204622/60</f>
        <v>53.277266951269205</v>
      </c>
      <c r="M26" s="93"/>
      <c r="N26" s="91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3">
        <f>SUM(G24:G26)</f>
        <v>5.953537214379301</v>
      </c>
      <c r="H27" s="91">
        <f>E27+F27+G27</f>
        <v>1744.6405372143793</v>
      </c>
      <c r="I27" s="91"/>
      <c r="J27" s="91">
        <f>SUM(J24:J26)</f>
        <v>467.7448333333333</v>
      </c>
      <c r="K27" s="92">
        <f>M27-L27-J27</f>
        <v>53.65643354629276</v>
      </c>
      <c r="L27" s="93">
        <f>SUM(L24:L26)</f>
        <v>257.3192703347532</v>
      </c>
      <c r="M27" s="93">
        <f>H27-N27</f>
        <v>778.7205372143793</v>
      </c>
      <c r="N27" s="91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(4.98816+15.473421+8.217032)*2.204622/60</f>
        <v>1.0537583524881</v>
      </c>
      <c r="H28" s="91"/>
      <c r="I28" s="91"/>
      <c r="J28" s="91">
        <f>4.446863*2000/60</f>
        <v>148.22876666666664</v>
      </c>
      <c r="K28" s="92"/>
      <c r="L28" s="93">
        <f>(45.783266+1749.668)*2.204622/60</f>
        <v>65.9715226825242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(3.509596+37.139519+6.116628)*2.204622/60</f>
        <v>1.7183464310691001</v>
      </c>
      <c r="H29" s="91"/>
      <c r="I29" s="91"/>
      <c r="J29" s="91">
        <f>4.66868*2000/60</f>
        <v>155.62266666666667</v>
      </c>
      <c r="K29" s="92"/>
      <c r="L29" s="93">
        <f>(28.793709+2234.169)*2.204622/60</f>
        <v>83.1496228906833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(3.239739+29.130588+7.20543)*2.204622/60</f>
        <v>1.4541597424809</v>
      </c>
      <c r="H30" s="91"/>
      <c r="I30" s="91"/>
      <c r="J30" s="91">
        <f>4.548592*2000/60</f>
        <v>151.61973333333336</v>
      </c>
      <c r="K30" s="92"/>
      <c r="L30" s="93">
        <f>(42.412569+3033.848)*2.204622/60</f>
        <v>113.0331954691653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3">
        <f>SUM(G28:G30)</f>
        <v>4.226264526038101</v>
      </c>
      <c r="H31" s="91">
        <f>SUM(E31:G31)</f>
        <v>970.1462645260381</v>
      </c>
      <c r="I31" s="91"/>
      <c r="J31" s="91">
        <f>SUM(J28:J30)</f>
        <v>455.4711666666667</v>
      </c>
      <c r="K31" s="92">
        <f>M31-L31-J31</f>
        <v>-48.80824318300142</v>
      </c>
      <c r="L31" s="93">
        <f>SUM(L28:L30)</f>
        <v>262.15434104237283</v>
      </c>
      <c r="M31" s="93">
        <f>+H31-N31</f>
        <v>668.8172645260381</v>
      </c>
      <c r="N31" s="91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3">
        <f>G19+G23+G27+G31</f>
        <v>22.241776548522303</v>
      </c>
      <c r="H32" s="91">
        <f>E19+F32+G32</f>
        <v>4515.056776548523</v>
      </c>
      <c r="I32" s="91"/>
      <c r="J32" s="91">
        <f>J19+J23+J27+J31</f>
        <v>1898.9575333333332</v>
      </c>
      <c r="K32" s="92">
        <f>K19+K23+K27+K31</f>
        <v>141.11770147792237</v>
      </c>
      <c r="L32" s="93">
        <f>L19+L23+L27+L31</f>
        <v>2173.652541737267</v>
      </c>
      <c r="M32" s="93">
        <f>M19+M23+M27+M31</f>
        <v>4213.727776548522</v>
      </c>
      <c r="N32" s="9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93"/>
      <c r="N33" s="121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93"/>
      <c r="N34" s="121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3">
        <f>(1.392923+28.520061+6.869446)*2.204622/60</f>
        <v>1.351522573191</v>
      </c>
      <c r="H35" s="91"/>
      <c r="I35" s="91"/>
      <c r="J35" s="91">
        <f>4.361207*2000/60</f>
        <v>145.37356666666668</v>
      </c>
      <c r="K35" s="92"/>
      <c r="L35" s="93">
        <f>(42.118554+4598.493)*2.204622/60</f>
        <v>170.5132387567098</v>
      </c>
      <c r="M35" s="93"/>
      <c r="N35" s="91"/>
    </row>
    <row r="36" spans="1:14" ht="18.75" customHeight="1">
      <c r="A36" s="14" t="s">
        <v>166</v>
      </c>
      <c r="B36" s="14"/>
      <c r="C36" s="14"/>
      <c r="D36" s="14"/>
      <c r="E36" s="27">
        <f>N31</f>
        <v>301.329</v>
      </c>
      <c r="F36" s="103">
        <f>4425.279</f>
        <v>4425.279</v>
      </c>
      <c r="G36" s="104">
        <f>G35</f>
        <v>1.351522573191</v>
      </c>
      <c r="H36" s="61"/>
      <c r="I36" s="61"/>
      <c r="J36" s="61">
        <f>J35</f>
        <v>145.37356666666668</v>
      </c>
      <c r="K36" s="126"/>
      <c r="L36" s="104">
        <f>L35</f>
        <v>170.5132387567098</v>
      </c>
      <c r="M36" s="104"/>
      <c r="N36" s="123"/>
    </row>
    <row r="37" spans="1:14" ht="18.75" customHeight="1">
      <c r="A37" s="42" t="s">
        <v>130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57"/>
      <c r="M37" s="17"/>
      <c r="N37" s="17"/>
    </row>
    <row r="38" spans="1:14" ht="15.75">
      <c r="A38" s="15" t="s">
        <v>104</v>
      </c>
      <c r="B38" s="15"/>
      <c r="C38" s="15"/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.75">
      <c r="A39" s="46" t="s">
        <v>96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15" t="s">
        <v>26</v>
      </c>
      <c r="B40" s="25">
        <f ca="1">NOW()</f>
        <v>43052.74469270834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5:73" ht="12.7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6:73" ht="12.75">
      <c r="F46" s="4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9" t="s">
        <v>146</v>
      </c>
      <c r="C5" s="149"/>
      <c r="D5" s="149"/>
      <c r="E5" s="149"/>
      <c r="F5" s="149"/>
      <c r="G5" s="149"/>
      <c r="H5" s="149"/>
      <c r="I5" s="149"/>
      <c r="J5" s="149"/>
    </row>
    <row r="6" spans="1:10" ht="18.75">
      <c r="A6" s="15" t="s">
        <v>168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f>C38</f>
        <v>44733.244</v>
      </c>
      <c r="D7" s="111">
        <f>D38</f>
        <v>349.4954010900241</v>
      </c>
      <c r="E7" s="111">
        <f>+B7+C7+D7</f>
        <v>45346.62540109002</v>
      </c>
      <c r="F7" s="111"/>
      <c r="G7" s="111">
        <f>+I7-H7</f>
        <v>33345.08252584723</v>
      </c>
      <c r="H7" s="111">
        <f>H38</f>
        <v>11600.912875242791</v>
      </c>
      <c r="I7" s="111">
        <f>+E7-J7</f>
        <v>44945.995401090026</v>
      </c>
      <c r="J7" s="111">
        <f>J37</f>
        <v>400.63</v>
      </c>
    </row>
    <row r="8" spans="1:10" ht="18.75">
      <c r="A8" s="15" t="s">
        <v>167</v>
      </c>
      <c r="B8" s="112">
        <f>J7</f>
        <v>400.63</v>
      </c>
      <c r="C8" s="111">
        <v>46099</v>
      </c>
      <c r="D8" s="111">
        <v>300</v>
      </c>
      <c r="E8" s="111">
        <f>+B8+C8+D8</f>
        <v>46799.63</v>
      </c>
      <c r="F8" s="111"/>
      <c r="G8" s="111">
        <f>+I8-H8</f>
        <v>34299.63</v>
      </c>
      <c r="H8" s="111">
        <v>12200</v>
      </c>
      <c r="I8" s="111">
        <f>+E8-J8</f>
        <v>46499.63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163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 aca="true" t="shared" si="10" ref="E32:E37">SUM(B32:D32)</f>
        <v>3872.904590441138</v>
      </c>
      <c r="F32" s="110"/>
      <c r="G32" s="114">
        <f aca="true" t="shared" si="11" ref="G32:G37"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 t="shared" si="10"/>
        <v>4174.056686201101</v>
      </c>
      <c r="F33" s="110"/>
      <c r="G33" s="114">
        <f t="shared" si="11"/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 t="shared" si="10"/>
        <v>3948.384452059925</v>
      </c>
      <c r="F34" s="110"/>
      <c r="G34" s="114">
        <f t="shared" si="11"/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 t="shared" si="10"/>
        <v>4006.1068482164337</v>
      </c>
      <c r="F35" s="110"/>
      <c r="G35" s="114">
        <f t="shared" si="11"/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 t="shared" si="10"/>
        <v>4010.829814267326</v>
      </c>
      <c r="F36" s="110"/>
      <c r="G36" s="114">
        <f t="shared" si="11"/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7" t="s">
        <v>87</v>
      </c>
      <c r="B37" s="113">
        <f>J36</f>
        <v>326.48</v>
      </c>
      <c r="C37" s="93">
        <f>3188.771+219.873</f>
        <v>3408.6440000000002</v>
      </c>
      <c r="D37" s="93">
        <f>(20301.931+4018+105.104+15.191)*2.204622/2000</f>
        <v>26.940729962286</v>
      </c>
      <c r="E37" s="93">
        <f t="shared" si="10"/>
        <v>3762.064729962286</v>
      </c>
      <c r="F37" s="110"/>
      <c r="G37" s="114">
        <f t="shared" si="11"/>
        <v>2673.986502943299</v>
      </c>
      <c r="H37" s="93">
        <f>((492.505091+4.872+126.265626))*(2.204622/2)</f>
        <v>687.4482270189869</v>
      </c>
      <c r="I37" s="110">
        <f>E37-J37</f>
        <v>3361.434729962286</v>
      </c>
      <c r="J37" s="93">
        <f>353.758+46.872</f>
        <v>400.63</v>
      </c>
      <c r="K37" s="110"/>
      <c r="L37" s="110"/>
    </row>
    <row r="38" spans="1:12" ht="15.75">
      <c r="A38" s="14" t="s">
        <v>166</v>
      </c>
      <c r="B38" s="122"/>
      <c r="C38" s="104">
        <f>SUM(C26:C37)</f>
        <v>44733.244</v>
      </c>
      <c r="D38" s="104">
        <f>SUM(D26:D37)</f>
        <v>349.4954010900241</v>
      </c>
      <c r="E38" s="104">
        <f>B26+C38+D38</f>
        <v>45346.62540109002</v>
      </c>
      <c r="F38" s="107">
        <f>SUM(F16:F17)</f>
        <v>0</v>
      </c>
      <c r="G38" s="104">
        <f>SUM(G26:G37)</f>
        <v>33345.08252584724</v>
      </c>
      <c r="H38" s="104">
        <f>SUM(H26:H37)</f>
        <v>11600.912875242791</v>
      </c>
      <c r="I38" s="104">
        <f>SUM(I26:I37)</f>
        <v>44945.995401090026</v>
      </c>
      <c r="J38" s="104"/>
      <c r="K38" s="110"/>
      <c r="L38" s="110"/>
    </row>
    <row r="39" spans="1:10" ht="18.75">
      <c r="A39" s="43" t="s">
        <v>131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102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5" t="s">
        <v>26</v>
      </c>
      <c r="B41" s="25">
        <f ca="1">NOW()</f>
        <v>43052.74469270834</v>
      </c>
      <c r="C41" s="26"/>
      <c r="D41" s="22"/>
      <c r="E41" s="22"/>
      <c r="F41" s="22"/>
      <c r="G41" s="22"/>
      <c r="H41" s="22"/>
      <c r="I41" s="22"/>
      <c r="J41" s="22"/>
    </row>
    <row r="42" spans="8:10" ht="12.75">
      <c r="H42" s="3"/>
      <c r="I42" s="3"/>
      <c r="J42" s="3"/>
    </row>
    <row r="43" spans="1:10" ht="12.75">
      <c r="A43" s="1"/>
      <c r="B43" s="3"/>
      <c r="C43" s="4"/>
      <c r="D43" s="3"/>
      <c r="E43" s="3"/>
      <c r="F43" s="3"/>
      <c r="G43" s="3"/>
      <c r="H43" s="5"/>
      <c r="I43" s="3"/>
      <c r="J43" s="3"/>
    </row>
    <row r="44" spans="1:10" ht="12.75">
      <c r="A44" s="1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8" t="s">
        <v>153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f>C40</f>
        <v>22098.763</v>
      </c>
      <c r="D8" s="78">
        <f>D40</f>
        <v>318.24398695887</v>
      </c>
      <c r="E8" s="78">
        <f>+B8+C8+D8</f>
        <v>24103.81998695887</v>
      </c>
      <c r="F8" s="78"/>
      <c r="G8" s="78">
        <f>+K8-J8</f>
        <v>19836.557246716395</v>
      </c>
      <c r="H8" s="78">
        <v>6200</v>
      </c>
      <c r="I8" s="78">
        <f>G8-H8</f>
        <v>13636.557246716395</v>
      </c>
      <c r="J8" s="78">
        <f>J40</f>
        <v>2556.308740242474</v>
      </c>
      <c r="K8" s="78">
        <f>+E8-L8</f>
        <v>22392.86598695887</v>
      </c>
      <c r="L8" s="78">
        <f>L39</f>
        <v>1710.954</v>
      </c>
      <c r="M8" s="59"/>
    </row>
    <row r="9" spans="1:13" ht="18.75">
      <c r="A9" s="15" t="s">
        <v>167</v>
      </c>
      <c r="B9" s="78">
        <f>+L8</f>
        <v>1710.954</v>
      </c>
      <c r="C9" s="78">
        <v>22505</v>
      </c>
      <c r="D9" s="78">
        <v>300</v>
      </c>
      <c r="E9" s="78">
        <f>+B9+C9+D9</f>
        <v>24515.954</v>
      </c>
      <c r="F9" s="78"/>
      <c r="G9" s="78">
        <f>+K9-J9</f>
        <v>20799.954</v>
      </c>
      <c r="H9" s="78">
        <v>7000</v>
      </c>
      <c r="I9" s="78">
        <f>G9-H9</f>
        <v>13799.954000000002</v>
      </c>
      <c r="J9" s="78">
        <v>2100</v>
      </c>
      <c r="K9" s="78">
        <f>+E9-L9</f>
        <v>22899.954</v>
      </c>
      <c r="L9" s="78">
        <v>1616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163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8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 aca="true" t="shared" si="10" ref="E34:E39">SUM(B34:D34)</f>
        <v>4117.3188390986625</v>
      </c>
      <c r="F34" s="110"/>
      <c r="G34" s="110">
        <f aca="true" t="shared" si="11" ref="G34:G39"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 aca="true" t="shared" si="12" ref="K34:K39"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 t="shared" si="10"/>
        <v>4104.677207686022</v>
      </c>
      <c r="F35" s="110"/>
      <c r="G35" s="110">
        <f t="shared" si="11"/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 t="shared" si="12"/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 t="shared" si="10"/>
        <v>4029.1523148585225</v>
      </c>
      <c r="F36" s="110"/>
      <c r="G36" s="110">
        <f t="shared" si="11"/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 t="shared" si="12"/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 t="shared" si="10"/>
        <v>3966.779222454524</v>
      </c>
      <c r="F37" s="110"/>
      <c r="G37" s="110">
        <f t="shared" si="11"/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 t="shared" si="12"/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 t="shared" si="10"/>
        <v>3782.143645419188</v>
      </c>
      <c r="F38" s="110"/>
      <c r="G38" s="110">
        <f t="shared" si="11"/>
        <v>1808.6876725403722</v>
      </c>
      <c r="H38" s="110">
        <v>608.17</v>
      </c>
      <c r="I38" s="110">
        <f t="shared" si="7"/>
        <v>1200.5176725403721</v>
      </c>
      <c r="J38" s="110">
        <f>(58.152578+0.182461+15.403299+0.24939)*2.204622</f>
        <v>163.11497287881602</v>
      </c>
      <c r="K38" s="110">
        <f t="shared" si="12"/>
        <v>1971.8026454191881</v>
      </c>
      <c r="L38" s="110">
        <f>1483.031+327.31</f>
        <v>1810.341</v>
      </c>
    </row>
    <row r="39" spans="1:12" ht="15.75">
      <c r="A39" s="17" t="s">
        <v>87</v>
      </c>
      <c r="B39" s="110">
        <f>L38</f>
        <v>1810.341</v>
      </c>
      <c r="C39" s="118">
        <v>1701.762</v>
      </c>
      <c r="D39" s="110">
        <f>(0.555986+0+7.608882+0.00048)*2.204622</f>
        <v>18.001505838456</v>
      </c>
      <c r="E39" s="110">
        <f t="shared" si="10"/>
        <v>3530.104505838456</v>
      </c>
      <c r="F39" s="110"/>
      <c r="G39" s="110">
        <f t="shared" si="11"/>
        <v>1688.9931966507181</v>
      </c>
      <c r="H39" s="110" t="s">
        <v>10</v>
      </c>
      <c r="I39" s="110" t="s">
        <v>10</v>
      </c>
      <c r="J39" s="110">
        <f>(41.879713+0.162186+16.816061+0.180419)*2.204622</f>
        <v>130.157309187738</v>
      </c>
      <c r="K39" s="110">
        <f t="shared" si="12"/>
        <v>1819.1505058384562</v>
      </c>
      <c r="L39" s="110">
        <f>1400.918+310.036</f>
        <v>1710.954</v>
      </c>
    </row>
    <row r="40" spans="1:12" ht="15.75">
      <c r="A40" s="14" t="s">
        <v>39</v>
      </c>
      <c r="B40" s="107"/>
      <c r="C40" s="104">
        <f>SUM(C28:C39)</f>
        <v>22098.763</v>
      </c>
      <c r="D40" s="107">
        <f>SUM(D28:D39)</f>
        <v>318.24398695887</v>
      </c>
      <c r="E40" s="104">
        <f>B28+C40+D40</f>
        <v>24103.81998695887</v>
      </c>
      <c r="F40" s="107"/>
      <c r="G40" s="104">
        <f>SUM(G28:G39)</f>
        <v>19836.557246716395</v>
      </c>
      <c r="H40" s="104">
        <f>SUM(H28:H39)</f>
        <v>5596.389999999999</v>
      </c>
      <c r="I40" s="104">
        <f>SUM(I28:I39)</f>
        <v>12551.17405006568</v>
      </c>
      <c r="J40" s="104">
        <f>SUM(J28:J39)</f>
        <v>2556.308740242474</v>
      </c>
      <c r="K40" s="104">
        <f>SUM(K28:K39)</f>
        <v>22392.865986958874</v>
      </c>
      <c r="L40" s="107"/>
    </row>
    <row r="41" spans="1:12" ht="18.75">
      <c r="A41" s="43" t="s">
        <v>154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102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75">
      <c r="A43" s="15" t="s">
        <v>26</v>
      </c>
      <c r="B43" s="25">
        <f ca="1">NOW()</f>
        <v>43052.74469270834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0" t="s">
        <v>0</v>
      </c>
      <c r="C2" s="150"/>
      <c r="D2" s="150"/>
      <c r="E2" s="150"/>
      <c r="F2" s="28"/>
      <c r="G2" s="150" t="s">
        <v>24</v>
      </c>
      <c r="H2" s="150"/>
      <c r="I2" s="150"/>
      <c r="J2" s="150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168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167</v>
      </c>
      <c r="B9" s="69">
        <f>+K8</f>
        <v>399</v>
      </c>
      <c r="C9" s="69">
        <v>6758</v>
      </c>
      <c r="D9" s="80">
        <v>0</v>
      </c>
      <c r="E9" s="69">
        <f>+B9+C9+D9</f>
        <v>7157</v>
      </c>
      <c r="F9" s="29"/>
      <c r="G9" s="69">
        <v>2400</v>
      </c>
      <c r="H9" s="84">
        <v>360</v>
      </c>
      <c r="I9" s="69">
        <f>J9-G9-H9</f>
        <v>3950</v>
      </c>
      <c r="J9" s="69">
        <f>E9-K9</f>
        <v>6710</v>
      </c>
      <c r="K9" s="69">
        <v>447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0" t="s">
        <v>0</v>
      </c>
      <c r="C15" s="150"/>
      <c r="D15" s="150"/>
      <c r="E15" s="150"/>
      <c r="G15" s="150" t="s">
        <v>24</v>
      </c>
      <c r="H15" s="150"/>
      <c r="I15" s="150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637.924941473795</v>
      </c>
      <c r="H20" s="81">
        <v>89.71505852620501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805.2929999999999</v>
      </c>
      <c r="D21" s="82">
        <v>0</v>
      </c>
      <c r="E21" s="81">
        <f>+B21+D21+C21</f>
        <v>824.9689999999999</v>
      </c>
      <c r="G21" s="81">
        <f>+I21-H21</f>
        <v>687.0128503574739</v>
      </c>
      <c r="H21" s="81">
        <v>110.22014964252601</v>
      </c>
      <c r="I21" s="81">
        <f>+E21-J21</f>
        <v>797.233</v>
      </c>
      <c r="J21" s="68">
        <v>27.736</v>
      </c>
    </row>
    <row r="22" spans="1:10" ht="18.75">
      <c r="A22" s="14" t="s">
        <v>167</v>
      </c>
      <c r="B22" s="69">
        <f>+J21</f>
        <v>27.736</v>
      </c>
      <c r="C22" s="84">
        <v>1080</v>
      </c>
      <c r="D22" s="80">
        <v>0</v>
      </c>
      <c r="E22" s="84">
        <f>+B22+D22+C22</f>
        <v>1107.736</v>
      </c>
      <c r="F22" s="29"/>
      <c r="G22" s="84">
        <f>+I22-H22</f>
        <v>977.7360000000001</v>
      </c>
      <c r="H22" s="84">
        <v>90</v>
      </c>
      <c r="I22" s="84">
        <f>+E22-J22</f>
        <v>1067.736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0" t="s">
        <v>0</v>
      </c>
      <c r="C28" s="150"/>
      <c r="D28" s="150"/>
      <c r="E28" s="150"/>
      <c r="G28" s="150" t="s">
        <v>24</v>
      </c>
      <c r="H28" s="150"/>
      <c r="I28" s="150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433.243070622</v>
      </c>
      <c r="H33" s="81">
        <v>54.826</v>
      </c>
      <c r="I33" s="81">
        <f>+E33-J33</f>
        <v>488.069070622</v>
      </c>
      <c r="J33" s="83">
        <v>41.547</v>
      </c>
    </row>
    <row r="34" spans="1:10" ht="18.75">
      <c r="A34" s="15" t="s">
        <v>159</v>
      </c>
      <c r="B34" s="82">
        <f>+J33</f>
        <v>41.547</v>
      </c>
      <c r="C34" s="81">
        <v>541.625</v>
      </c>
      <c r="D34" s="82">
        <v>0.121953075174</v>
      </c>
      <c r="E34" s="74">
        <f>+B34+D34+C34</f>
        <v>583.293953075174</v>
      </c>
      <c r="G34" s="81">
        <f>+I34-H34</f>
        <v>435.17942153772003</v>
      </c>
      <c r="H34" s="81">
        <v>103.98553153745401</v>
      </c>
      <c r="I34" s="81">
        <f>+E34-J34</f>
        <v>539.164953075174</v>
      </c>
      <c r="J34" s="83">
        <v>44.129</v>
      </c>
    </row>
    <row r="35" spans="1:10" ht="18.75">
      <c r="A35" s="14" t="s">
        <v>167</v>
      </c>
      <c r="B35" s="80">
        <f>+J34</f>
        <v>44.129</v>
      </c>
      <c r="C35" s="84">
        <v>755</v>
      </c>
      <c r="D35" s="80">
        <v>5</v>
      </c>
      <c r="E35" s="75">
        <f>+B35+D35+C35</f>
        <v>804.129</v>
      </c>
      <c r="F35" s="29"/>
      <c r="G35" s="84">
        <f>+I35-H35</f>
        <v>664.129</v>
      </c>
      <c r="H35" s="84">
        <v>90</v>
      </c>
      <c r="I35" s="84">
        <f>+E35-J35</f>
        <v>754.129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0" t="s">
        <v>27</v>
      </c>
      <c r="C41" s="150"/>
      <c r="D41" s="16" t="s">
        <v>30</v>
      </c>
      <c r="E41" s="150" t="s">
        <v>119</v>
      </c>
      <c r="F41" s="150"/>
      <c r="G41" s="150"/>
      <c r="H41" s="150"/>
      <c r="J41" s="150" t="s">
        <v>24</v>
      </c>
      <c r="K41" s="150"/>
      <c r="L41" s="150"/>
      <c r="M41" s="150"/>
      <c r="N41" s="150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8" t="s">
        <v>121</v>
      </c>
      <c r="C44" s="149"/>
      <c r="D44" s="65" t="s">
        <v>101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167</v>
      </c>
      <c r="B48" s="69">
        <v>1881</v>
      </c>
      <c r="C48" s="69">
        <v>1829</v>
      </c>
      <c r="D48" s="69">
        <f>F48*1000/C48</f>
        <v>4176.4625478403495</v>
      </c>
      <c r="E48" s="69">
        <f>O47</f>
        <v>1441.592</v>
      </c>
      <c r="F48" s="69">
        <v>7638.75</v>
      </c>
      <c r="G48" s="84">
        <v>75</v>
      </c>
      <c r="H48" s="69">
        <f>+E48+G48+F48</f>
        <v>9155.342</v>
      </c>
      <c r="I48" s="69"/>
      <c r="J48" s="69">
        <v>3202</v>
      </c>
      <c r="K48" s="69">
        <v>978</v>
      </c>
      <c r="L48" s="84">
        <f>+N48-J48-K48-M48</f>
        <v>922.3420000000006</v>
      </c>
      <c r="M48" s="84">
        <v>1500</v>
      </c>
      <c r="N48" s="69">
        <f>+H48-O48</f>
        <v>6602.342000000001</v>
      </c>
      <c r="O48" s="69">
        <v>2553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43052.74469270834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0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159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189</v>
      </c>
      <c r="C16" s="86" t="s">
        <v>187</v>
      </c>
      <c r="D16" s="55" t="s">
        <v>191</v>
      </c>
      <c r="E16" s="55" t="s">
        <v>190</v>
      </c>
      <c r="F16" s="55" t="s">
        <v>172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29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9.41</v>
      </c>
      <c r="C19" s="86">
        <v>180</v>
      </c>
      <c r="D19" s="86">
        <v>17.9</v>
      </c>
      <c r="E19" s="86">
        <v>15.5</v>
      </c>
      <c r="F19" s="86">
        <v>19.1</v>
      </c>
      <c r="G19" s="86">
        <v>7.61</v>
      </c>
      <c r="H19" s="1"/>
    </row>
    <row r="20" spans="1:8" ht="15.75">
      <c r="A20" s="15" t="s">
        <v>74</v>
      </c>
      <c r="B20" s="86">
        <v>9.3</v>
      </c>
      <c r="C20" s="86">
        <v>197</v>
      </c>
      <c r="D20" s="86">
        <v>17</v>
      </c>
      <c r="E20" s="86">
        <v>15.8</v>
      </c>
      <c r="F20" s="86">
        <v>19.5</v>
      </c>
      <c r="G20" s="86">
        <v>7.37</v>
      </c>
      <c r="H20" s="1"/>
    </row>
    <row r="21" spans="1:8" ht="15.75">
      <c r="A21" s="15" t="s">
        <v>75</v>
      </c>
      <c r="B21" s="86">
        <v>9.47</v>
      </c>
      <c r="C21" s="86">
        <v>195</v>
      </c>
      <c r="D21" s="86">
        <v>16.4</v>
      </c>
      <c r="E21" s="86">
        <v>16.2</v>
      </c>
      <c r="F21" s="86">
        <v>19</v>
      </c>
      <c r="G21" s="86">
        <v>7.36</v>
      </c>
      <c r="H21" s="1"/>
    </row>
    <row r="22" spans="1:8" ht="15.75">
      <c r="A22" s="15" t="s">
        <v>76</v>
      </c>
      <c r="B22" s="86">
        <v>9.64</v>
      </c>
      <c r="C22" s="86">
        <v>196</v>
      </c>
      <c r="D22" s="86">
        <v>17.2</v>
      </c>
      <c r="E22" s="86">
        <v>17.1</v>
      </c>
      <c r="F22" s="86">
        <v>18.6</v>
      </c>
      <c r="G22" s="86">
        <v>7.59</v>
      </c>
      <c r="H22" s="1"/>
    </row>
    <row r="23" spans="1:8" ht="15.75">
      <c r="A23" s="15" t="s">
        <v>77</v>
      </c>
      <c r="B23" s="86">
        <v>9.71</v>
      </c>
      <c r="C23" s="86">
        <v>199</v>
      </c>
      <c r="D23" s="86">
        <v>17.2</v>
      </c>
      <c r="E23" s="86">
        <v>17.3</v>
      </c>
      <c r="F23" s="86">
        <v>19.8</v>
      </c>
      <c r="G23" s="86">
        <v>8.26</v>
      </c>
      <c r="H23" s="1"/>
    </row>
    <row r="24" spans="1:8" ht="15.75">
      <c r="A24" s="15" t="s">
        <v>78</v>
      </c>
      <c r="B24" s="86">
        <v>9.86</v>
      </c>
      <c r="C24" s="86">
        <v>203</v>
      </c>
      <c r="D24" s="86">
        <v>17.6</v>
      </c>
      <c r="E24" s="86">
        <v>17.4</v>
      </c>
      <c r="F24" s="86">
        <v>20.1</v>
      </c>
      <c r="G24" s="86">
        <v>7.86</v>
      </c>
      <c r="H24" s="1"/>
    </row>
    <row r="25" spans="1:8" ht="15.75">
      <c r="A25" s="15" t="s">
        <v>79</v>
      </c>
      <c r="B25" s="86">
        <v>9.69</v>
      </c>
      <c r="C25" s="86" t="s">
        <v>10</v>
      </c>
      <c r="D25" s="86">
        <v>17.4</v>
      </c>
      <c r="E25" s="86">
        <v>17.6</v>
      </c>
      <c r="F25" s="86">
        <v>20.6</v>
      </c>
      <c r="G25" s="86">
        <v>8.34</v>
      </c>
      <c r="H25" s="1"/>
    </row>
    <row r="26" spans="1:8" ht="15.75">
      <c r="A26" s="15" t="s">
        <v>80</v>
      </c>
      <c r="B26" s="86">
        <v>9.33</v>
      </c>
      <c r="C26" s="86" t="s">
        <v>10</v>
      </c>
      <c r="D26" s="86">
        <v>17.9</v>
      </c>
      <c r="E26" s="86">
        <v>18</v>
      </c>
      <c r="F26" s="86">
        <v>19.8</v>
      </c>
      <c r="G26" s="86">
        <v>8.03</v>
      </c>
      <c r="H26" s="1"/>
    </row>
    <row r="27" spans="1:8" ht="15.75">
      <c r="A27" s="15" t="s">
        <v>81</v>
      </c>
      <c r="B27" s="86">
        <v>9.29</v>
      </c>
      <c r="C27" s="86" t="s">
        <v>10</v>
      </c>
      <c r="D27" s="86">
        <v>17.3</v>
      </c>
      <c r="E27" s="86">
        <v>16.8</v>
      </c>
      <c r="F27" s="86">
        <v>19.4</v>
      </c>
      <c r="G27" s="86">
        <v>8.96</v>
      </c>
      <c r="H27" s="1"/>
    </row>
    <row r="28" spans="1:8" ht="15.75">
      <c r="A28" s="15" t="s">
        <v>82</v>
      </c>
      <c r="B28" s="86">
        <v>9.1</v>
      </c>
      <c r="C28" s="86" t="s">
        <v>10</v>
      </c>
      <c r="D28" s="86">
        <v>17.6</v>
      </c>
      <c r="E28" s="86">
        <v>17.4</v>
      </c>
      <c r="F28" s="86">
        <v>19.7</v>
      </c>
      <c r="G28" s="86">
        <v>8.53</v>
      </c>
      <c r="H28" s="1"/>
    </row>
    <row r="29" spans="1:8" ht="15.75">
      <c r="A29" s="15" t="s">
        <v>84</v>
      </c>
      <c r="B29" s="86">
        <v>9.42</v>
      </c>
      <c r="C29" s="86" t="s">
        <v>10</v>
      </c>
      <c r="D29" s="86">
        <v>17.9</v>
      </c>
      <c r="E29" s="86">
        <v>17.8</v>
      </c>
      <c r="F29" s="86">
        <v>20.5</v>
      </c>
      <c r="G29" s="86">
        <v>8.4</v>
      </c>
      <c r="H29" s="1"/>
    </row>
    <row r="30" spans="1:8" ht="15.75">
      <c r="A30" s="15" t="s">
        <v>85</v>
      </c>
      <c r="B30" s="86">
        <v>9.24</v>
      </c>
      <c r="C30" s="86">
        <v>127</v>
      </c>
      <c r="D30" s="86">
        <v>19.1</v>
      </c>
      <c r="E30" s="86">
        <v>17.7</v>
      </c>
      <c r="F30" s="86">
        <v>19.8</v>
      </c>
      <c r="G30" s="86">
        <v>9.3</v>
      </c>
      <c r="H30" s="1"/>
    </row>
    <row r="31" spans="1:8" ht="15.75">
      <c r="A31" s="15"/>
      <c r="B31" s="86"/>
      <c r="C31" s="86"/>
      <c r="D31" s="86"/>
      <c r="E31" s="86"/>
      <c r="F31" s="86"/>
      <c r="G31" s="86"/>
      <c r="H31" s="1"/>
    </row>
    <row r="32" spans="1:8" ht="15.75">
      <c r="A32" s="40" t="s">
        <v>170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9.35</v>
      </c>
      <c r="C33" s="86">
        <v>124</v>
      </c>
      <c r="D33" s="86">
        <v>17.4</v>
      </c>
      <c r="E33" s="86">
        <v>17.3</v>
      </c>
      <c r="F33" s="86">
        <v>23</v>
      </c>
      <c r="G33" s="86">
        <v>9.55</v>
      </c>
      <c r="H33" s="1"/>
    </row>
    <row r="34" spans="1:8" ht="15.75">
      <c r="A34" s="14"/>
      <c r="B34" s="87"/>
      <c r="C34" s="87"/>
      <c r="D34" s="87"/>
      <c r="E34" s="87"/>
      <c r="F34" s="87"/>
      <c r="G34" s="87"/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159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169</v>
      </c>
      <c r="B16" s="55" t="s">
        <v>171</v>
      </c>
      <c r="C16" s="55" t="s">
        <v>174</v>
      </c>
      <c r="D16" s="55" t="s">
        <v>175</v>
      </c>
      <c r="E16" s="55" t="s">
        <v>176</v>
      </c>
      <c r="F16" s="55" t="s">
        <v>177</v>
      </c>
      <c r="G16" s="55" t="s">
        <v>178</v>
      </c>
      <c r="H16" s="55" t="s">
        <v>179</v>
      </c>
      <c r="I16" s="55" t="s">
        <v>180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33.86</v>
      </c>
      <c r="C19" s="86">
        <v>44.875</v>
      </c>
      <c r="D19" s="86">
        <v>56</v>
      </c>
      <c r="E19" s="86">
        <v>38.94</v>
      </c>
      <c r="F19" s="86">
        <v>64.88</v>
      </c>
      <c r="G19" s="86">
        <v>36.22</v>
      </c>
      <c r="H19" s="86">
        <v>34</v>
      </c>
      <c r="I19" s="86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34.52</v>
      </c>
      <c r="C20" s="86">
        <v>45.8125</v>
      </c>
      <c r="D20" s="86">
        <v>56</v>
      </c>
      <c r="E20" s="86">
        <v>39.25</v>
      </c>
      <c r="F20" s="86">
        <v>66</v>
      </c>
      <c r="G20" s="86">
        <v>36.83</v>
      </c>
      <c r="H20" s="86" t="s">
        <v>10</v>
      </c>
      <c r="I20" s="86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35.57</v>
      </c>
      <c r="C21" s="86">
        <v>46.4</v>
      </c>
      <c r="D21" s="86">
        <v>56</v>
      </c>
      <c r="E21" s="86">
        <v>40.2</v>
      </c>
      <c r="F21" s="86">
        <v>63.1</v>
      </c>
      <c r="G21" s="86">
        <v>38.12</v>
      </c>
      <c r="H21" s="86">
        <v>31</v>
      </c>
      <c r="I21" s="86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33.58</v>
      </c>
      <c r="C22" s="86">
        <v>44.5625</v>
      </c>
      <c r="D22" s="86">
        <v>56</v>
      </c>
      <c r="E22" s="86">
        <v>38.69</v>
      </c>
      <c r="F22" s="86">
        <v>62.88</v>
      </c>
      <c r="G22" s="86">
        <v>37.89</v>
      </c>
      <c r="H22" s="86">
        <v>30.1</v>
      </c>
      <c r="I22" s="86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32</v>
      </c>
      <c r="C23" s="86">
        <v>41.5</v>
      </c>
      <c r="D23" s="86">
        <v>55</v>
      </c>
      <c r="E23" s="86">
        <v>37.25</v>
      </c>
      <c r="F23" s="86">
        <v>63.13</v>
      </c>
      <c r="G23" s="86">
        <v>38.11</v>
      </c>
      <c r="H23" s="86" t="s">
        <v>10</v>
      </c>
      <c r="I23" s="86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39.45</v>
      </c>
      <c r="D24" s="86">
        <v>52</v>
      </c>
      <c r="E24" s="86">
        <v>37.3</v>
      </c>
      <c r="F24" s="86">
        <v>65.8</v>
      </c>
      <c r="G24" s="86">
        <v>37.9</v>
      </c>
      <c r="H24" s="86" t="s">
        <v>10</v>
      </c>
      <c r="I24" s="86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29.57</v>
      </c>
      <c r="C25" s="86">
        <v>37.5625</v>
      </c>
      <c r="D25" s="86">
        <v>51</v>
      </c>
      <c r="E25" s="86">
        <v>36.13</v>
      </c>
      <c r="F25" s="86">
        <v>69.69</v>
      </c>
      <c r="G25" s="86">
        <v>37.63</v>
      </c>
      <c r="H25" s="86" t="s">
        <v>10</v>
      </c>
      <c r="I25" s="86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30.6</v>
      </c>
      <c r="C26" s="86">
        <v>38.625</v>
      </c>
      <c r="D26" s="86">
        <v>50.5</v>
      </c>
      <c r="E26" s="86">
        <v>37.06</v>
      </c>
      <c r="F26" s="86">
        <v>70.75</v>
      </c>
      <c r="G26" s="86">
        <v>37.71</v>
      </c>
      <c r="H26" s="86" t="s">
        <v>10</v>
      </c>
      <c r="I26" s="86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30.74</v>
      </c>
      <c r="C27" s="86">
        <v>38.6</v>
      </c>
      <c r="D27" s="86">
        <v>50.8</v>
      </c>
      <c r="E27" s="86">
        <v>37.85</v>
      </c>
      <c r="F27" s="86">
        <v>76.2</v>
      </c>
      <c r="G27" s="86">
        <v>38</v>
      </c>
      <c r="H27" s="86">
        <v>34.5</v>
      </c>
      <c r="I27" s="86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32.82</v>
      </c>
      <c r="C28" s="86">
        <v>38.875</v>
      </c>
      <c r="D28" s="86">
        <v>51.25</v>
      </c>
      <c r="E28" s="86">
        <v>39.75</v>
      </c>
      <c r="F28" s="86">
        <v>75.75</v>
      </c>
      <c r="G28" s="86">
        <v>37.53</v>
      </c>
      <c r="H28" s="86" t="s">
        <v>10</v>
      </c>
      <c r="I28" s="86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33.17</v>
      </c>
      <c r="C29" s="86">
        <v>36.375</v>
      </c>
      <c r="D29" s="86">
        <v>52.75</v>
      </c>
      <c r="E29" s="86">
        <v>41.19</v>
      </c>
      <c r="F29" s="86">
        <v>69.63</v>
      </c>
      <c r="G29" s="86">
        <v>36.75</v>
      </c>
      <c r="H29" s="86" t="s">
        <v>10</v>
      </c>
      <c r="I29" s="86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33.28</v>
      </c>
      <c r="C30" s="86">
        <v>38.45</v>
      </c>
      <c r="D30" s="86">
        <v>55.2</v>
      </c>
      <c r="E30" s="86">
        <v>41.15</v>
      </c>
      <c r="F30" s="86">
        <v>66.6</v>
      </c>
      <c r="G30" s="86">
        <v>36.48</v>
      </c>
      <c r="H30" s="86">
        <v>35.75</v>
      </c>
      <c r="I30" s="86">
        <v>35.08</v>
      </c>
      <c r="K30" s="7"/>
      <c r="L30" s="7"/>
      <c r="M30" s="7"/>
      <c r="N30" s="7"/>
      <c r="O30" s="7"/>
    </row>
    <row r="31" spans="1:9" ht="15.75">
      <c r="A31" s="17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170</v>
      </c>
      <c r="B32" s="86"/>
      <c r="C32" s="86"/>
      <c r="D32" s="86"/>
      <c r="E32" s="86"/>
      <c r="F32" s="86"/>
      <c r="G32" s="86"/>
      <c r="H32" s="86"/>
      <c r="I32" s="86"/>
    </row>
    <row r="33" spans="1:9" ht="15.75">
      <c r="A33" s="14" t="s">
        <v>74</v>
      </c>
      <c r="B33" s="87">
        <v>35.35</v>
      </c>
      <c r="C33" s="87">
        <v>37.06</v>
      </c>
      <c r="D33" s="87">
        <v>56</v>
      </c>
      <c r="E33" s="87">
        <v>39.06</v>
      </c>
      <c r="F33" s="87">
        <v>65.44</v>
      </c>
      <c r="G33" s="87">
        <v>34.96</v>
      </c>
      <c r="H33" s="87">
        <v>36</v>
      </c>
      <c r="I33" s="87">
        <v>32.06</v>
      </c>
    </row>
    <row r="34" spans="1:9" ht="18.75">
      <c r="A34" s="43" t="s">
        <v>138</v>
      </c>
      <c r="B34" s="9"/>
      <c r="C34" s="9"/>
      <c r="D34" s="9"/>
      <c r="E34" s="9"/>
      <c r="F34" s="9"/>
      <c r="G34" s="9"/>
      <c r="H34" s="9"/>
      <c r="I34" s="9"/>
    </row>
    <row r="35" spans="1:9" ht="18.75">
      <c r="A35" s="15" t="s">
        <v>139</v>
      </c>
      <c r="B35" s="9"/>
      <c r="C35" s="9"/>
      <c r="D35" s="9"/>
      <c r="E35" s="9"/>
      <c r="F35" s="9"/>
      <c r="G35" s="9"/>
      <c r="H35" s="9"/>
      <c r="I35" s="9"/>
    </row>
    <row r="36" spans="1:9" ht="15.75">
      <c r="A36" s="15" t="s">
        <v>93</v>
      </c>
      <c r="B36" s="15"/>
      <c r="C36" s="15"/>
      <c r="D36" s="15"/>
      <c r="E36" s="15"/>
      <c r="F36" s="36"/>
      <c r="G36" s="15"/>
      <c r="H36" s="15"/>
      <c r="I36" s="15"/>
    </row>
    <row r="37" spans="1:9" ht="15.75">
      <c r="A37" s="15" t="s">
        <v>26</v>
      </c>
      <c r="B37" s="97">
        <f ca="1">NOW()</f>
        <v>43052.74469270834</v>
      </c>
      <c r="D37" s="15"/>
      <c r="E37" s="15"/>
      <c r="F37" s="15"/>
      <c r="G37" s="15"/>
      <c r="H37" s="15"/>
      <c r="I37" s="15"/>
    </row>
    <row r="38" spans="3:9" ht="15.75">
      <c r="C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F57" s="54"/>
      <c r="H57" s="15"/>
      <c r="I57" s="15"/>
    </row>
    <row r="58" spans="6:9" ht="15.75">
      <c r="F58" s="54"/>
      <c r="H58" s="15"/>
      <c r="I58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159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169</v>
      </c>
      <c r="B16" s="86" t="s">
        <v>185</v>
      </c>
      <c r="C16" s="86" t="s">
        <v>186</v>
      </c>
      <c r="D16" s="86" t="s">
        <v>187</v>
      </c>
      <c r="E16" s="63" t="s">
        <v>10</v>
      </c>
      <c r="F16" s="86" t="s">
        <v>188</v>
      </c>
      <c r="G16" s="86" t="s">
        <v>173</v>
      </c>
    </row>
    <row r="17" spans="1:8" ht="15.75">
      <c r="A17" s="51"/>
      <c r="B17" s="86"/>
      <c r="C17" s="86"/>
      <c r="D17" s="86"/>
      <c r="E17" s="63"/>
      <c r="F17" s="86"/>
      <c r="G17" s="86"/>
      <c r="H17" s="13"/>
    </row>
    <row r="18" spans="1:8" ht="15.75">
      <c r="A18" s="15" t="s">
        <v>163</v>
      </c>
      <c r="B18" s="86"/>
      <c r="C18" s="86"/>
      <c r="D18" s="86"/>
      <c r="E18" s="63"/>
      <c r="F18" s="86"/>
      <c r="G18" s="86"/>
      <c r="H18" s="13"/>
    </row>
    <row r="19" spans="1:13" ht="15.75">
      <c r="A19" s="15" t="s">
        <v>74</v>
      </c>
      <c r="B19" s="86">
        <v>323.27</v>
      </c>
      <c r="C19" s="86">
        <v>241.88</v>
      </c>
      <c r="D19" s="86">
        <v>148.75</v>
      </c>
      <c r="E19" s="63" t="s">
        <v>10</v>
      </c>
      <c r="F19" s="86">
        <v>225.05</v>
      </c>
      <c r="G19" s="86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322.41</v>
      </c>
      <c r="C20" s="86">
        <v>221</v>
      </c>
      <c r="D20" s="86">
        <v>140.5</v>
      </c>
      <c r="E20" s="63" t="s">
        <v>10</v>
      </c>
      <c r="F20" s="86">
        <v>234.78</v>
      </c>
      <c r="G20" s="86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321.02</v>
      </c>
      <c r="C21" s="86">
        <v>217.5</v>
      </c>
      <c r="D21" s="86">
        <v>145</v>
      </c>
      <c r="E21" s="63" t="s">
        <v>10</v>
      </c>
      <c r="F21" s="86">
        <v>243.3</v>
      </c>
      <c r="G21" s="86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332.34</v>
      </c>
      <c r="C22" s="86">
        <v>223.5</v>
      </c>
      <c r="D22" s="86">
        <v>159</v>
      </c>
      <c r="E22" s="63" t="s">
        <v>10</v>
      </c>
      <c r="F22" s="86">
        <v>267.41</v>
      </c>
      <c r="G22" s="86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334.42</v>
      </c>
      <c r="C23" s="86">
        <v>221.88</v>
      </c>
      <c r="D23" s="86">
        <v>161.88</v>
      </c>
      <c r="E23" s="63" t="s">
        <v>10</v>
      </c>
      <c r="F23" s="86">
        <v>276.9</v>
      </c>
      <c r="G23" s="86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320.34</v>
      </c>
      <c r="C24" s="86">
        <v>210.63</v>
      </c>
      <c r="D24" s="86">
        <v>155</v>
      </c>
      <c r="E24" s="63" t="s">
        <v>10</v>
      </c>
      <c r="F24" s="86">
        <v>276.33</v>
      </c>
      <c r="G24" s="86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305.67</v>
      </c>
      <c r="C25" s="86">
        <v>195</v>
      </c>
      <c r="D25" s="86">
        <v>147.5</v>
      </c>
      <c r="E25" s="63" t="s">
        <v>10</v>
      </c>
      <c r="F25" s="86">
        <v>270.66</v>
      </c>
      <c r="G25" s="86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307.63</v>
      </c>
      <c r="C26" s="86">
        <v>179.5</v>
      </c>
      <c r="D26" s="86">
        <v>144</v>
      </c>
      <c r="E26" s="63" t="s">
        <v>10</v>
      </c>
      <c r="F26" s="86">
        <v>279.64</v>
      </c>
      <c r="G26" s="86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300.72</v>
      </c>
      <c r="C27" s="86">
        <v>179.38</v>
      </c>
      <c r="D27" s="86">
        <v>140</v>
      </c>
      <c r="E27" s="63" t="s">
        <v>10</v>
      </c>
      <c r="F27" s="86">
        <v>281.66</v>
      </c>
      <c r="G27" s="86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326.04</v>
      </c>
      <c r="C28" s="86">
        <v>200.83</v>
      </c>
      <c r="D28" s="86">
        <v>130.63</v>
      </c>
      <c r="E28" s="63" t="s">
        <v>10</v>
      </c>
      <c r="F28" s="86">
        <v>307.73</v>
      </c>
      <c r="G28" s="86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301.05</v>
      </c>
      <c r="C29" s="86">
        <v>198.5</v>
      </c>
      <c r="D29" s="86">
        <v>134.5</v>
      </c>
      <c r="E29" s="63" t="s">
        <v>10</v>
      </c>
      <c r="F29" s="86">
        <v>289.45</v>
      </c>
      <c r="G29" s="86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307.7</v>
      </c>
      <c r="C30" s="86">
        <v>213.75</v>
      </c>
      <c r="D30" s="86">
        <v>134.38</v>
      </c>
      <c r="E30" s="63" t="s">
        <v>10</v>
      </c>
      <c r="F30" s="86">
        <v>262.33</v>
      </c>
      <c r="G30" s="86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170</v>
      </c>
      <c r="B32" s="86"/>
      <c r="C32" s="86"/>
      <c r="D32" s="86"/>
      <c r="E32" s="63"/>
      <c r="F32" s="86"/>
      <c r="G32" s="86"/>
      <c r="H32" s="13"/>
    </row>
    <row r="33" spans="1:8" ht="15.75">
      <c r="A33" s="44" t="s">
        <v>74</v>
      </c>
      <c r="B33" s="87">
        <v>315.23</v>
      </c>
      <c r="C33" s="87">
        <v>229</v>
      </c>
      <c r="D33" s="87">
        <v>153</v>
      </c>
      <c r="E33" s="62" t="s">
        <v>10</v>
      </c>
      <c r="F33" s="87">
        <v>257.73</v>
      </c>
      <c r="G33" s="87">
        <v>214</v>
      </c>
      <c r="H33" s="13"/>
    </row>
    <row r="34" spans="1:13" ht="18.75">
      <c r="A34" s="43" t="s">
        <v>116</v>
      </c>
      <c r="B34" s="37"/>
      <c r="C34" s="37"/>
      <c r="D34" s="37"/>
      <c r="E34" s="37"/>
      <c r="F34" s="37"/>
      <c r="G34" s="37"/>
      <c r="I34" s="6"/>
      <c r="J34" s="6"/>
      <c r="K34" s="6"/>
      <c r="L34" s="6"/>
      <c r="M34" s="6"/>
    </row>
    <row r="35" spans="1:13" ht="18.75">
      <c r="A35" s="43" t="s">
        <v>117</v>
      </c>
      <c r="B35" s="38"/>
      <c r="C35" s="38"/>
      <c r="D35" s="38"/>
      <c r="E35" s="38"/>
      <c r="F35" s="38"/>
      <c r="G35" s="38"/>
      <c r="I35" s="11"/>
      <c r="J35" s="6"/>
      <c r="K35" s="6"/>
      <c r="L35" s="6"/>
      <c r="M35" s="6"/>
    </row>
    <row r="36" spans="1:13" ht="15.75">
      <c r="A36" s="15" t="s">
        <v>115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100</v>
      </c>
      <c r="B37" s="15"/>
      <c r="C37" s="15"/>
      <c r="D37" s="15"/>
      <c r="E37" s="15"/>
      <c r="F37" s="15"/>
      <c r="G37" s="15"/>
      <c r="H37" s="1"/>
      <c r="I37" s="11"/>
      <c r="J37" s="6"/>
      <c r="K37" s="6"/>
      <c r="L37" s="6"/>
      <c r="M37" s="6"/>
    </row>
    <row r="38" spans="1:13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  <c r="I38" s="11"/>
      <c r="J38" s="6"/>
      <c r="K38" s="6"/>
      <c r="L38" s="6"/>
      <c r="M38" s="6"/>
    </row>
    <row r="39" spans="6:13" ht="15.75">
      <c r="F39" s="15"/>
      <c r="I39" s="12"/>
      <c r="J39" s="8"/>
      <c r="K39" s="8"/>
      <c r="L39" s="8"/>
      <c r="M39" s="8"/>
    </row>
    <row r="40" spans="6:13" ht="15.75">
      <c r="F40" s="15"/>
      <c r="I40" s="12"/>
      <c r="J40" s="8"/>
      <c r="K40" s="8"/>
      <c r="L40" s="8"/>
      <c r="M40" s="8"/>
    </row>
    <row r="41" spans="9:13" ht="12.75">
      <c r="I41" s="11"/>
      <c r="J41" s="11"/>
      <c r="K41" s="6"/>
      <c r="L41" s="6"/>
      <c r="M41" s="6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8" spans="9:13" ht="12.75">
      <c r="I48" s="9"/>
      <c r="J48" s="9"/>
      <c r="K48" s="9"/>
      <c r="L48" s="9"/>
      <c r="M48" s="9"/>
    </row>
    <row r="49" spans="9:13" ht="12.75">
      <c r="I49" s="9"/>
      <c r="J49" s="9"/>
      <c r="K49" s="9"/>
      <c r="L49" s="9"/>
      <c r="M49" s="9"/>
    </row>
    <row r="50" ht="12.75">
      <c r="J50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198</v>
      </c>
      <c r="B1" s="98" t="s">
        <v>1</v>
      </c>
      <c r="C1" s="10" t="s">
        <v>199</v>
      </c>
      <c r="D1" s="10"/>
      <c r="E1" s="10"/>
      <c r="F1" s="10"/>
    </row>
    <row r="2" spans="2:3" ht="15.75">
      <c r="B2" s="15" t="s">
        <v>153</v>
      </c>
      <c r="C2" s="10" t="s">
        <v>101</v>
      </c>
    </row>
    <row r="3" spans="1:6" ht="12.75">
      <c r="A3" s="147" t="s">
        <v>72</v>
      </c>
      <c r="B3" s="127">
        <v>4157</v>
      </c>
      <c r="C3" s="127">
        <v>3312</v>
      </c>
      <c r="D3" s="127"/>
      <c r="E3" s="127"/>
      <c r="F3" s="127"/>
    </row>
    <row r="4" spans="1:6" ht="12.75">
      <c r="A4" s="147" t="s">
        <v>83</v>
      </c>
      <c r="B4" s="127">
        <v>3659</v>
      </c>
      <c r="C4" s="127">
        <v>3386</v>
      </c>
      <c r="D4" s="127"/>
      <c r="E4" s="127"/>
      <c r="F4" s="127"/>
    </row>
    <row r="5" spans="1:6" ht="12.75">
      <c r="A5" s="147" t="s">
        <v>118</v>
      </c>
      <c r="B5" s="127">
        <v>6754</v>
      </c>
      <c r="C5" s="127">
        <v>4211</v>
      </c>
      <c r="D5" s="127"/>
      <c r="E5" s="127"/>
      <c r="F5" s="127"/>
    </row>
    <row r="6" spans="1:3" ht="12.75">
      <c r="A6" s="147" t="s">
        <v>126</v>
      </c>
      <c r="B6" s="127">
        <v>4173</v>
      </c>
      <c r="C6" s="127">
        <v>4001</v>
      </c>
    </row>
    <row r="7" spans="1:3" ht="12.75">
      <c r="A7" s="147" t="s">
        <v>129</v>
      </c>
      <c r="B7" s="127">
        <v>5189</v>
      </c>
      <c r="C7" s="127">
        <v>3923</v>
      </c>
    </row>
    <row r="8" spans="1:3" ht="12.75">
      <c r="A8" s="147" t="s">
        <v>140</v>
      </c>
      <c r="B8" s="127">
        <v>6001</v>
      </c>
      <c r="C8" s="127">
        <v>3845</v>
      </c>
    </row>
    <row r="9" spans="1:3" ht="12.75">
      <c r="A9" s="147" t="s">
        <v>163</v>
      </c>
      <c r="B9" s="127">
        <v>5582</v>
      </c>
      <c r="C9" s="127">
        <v>3634</v>
      </c>
    </row>
    <row r="10" spans="1:3" ht="12.75">
      <c r="A10" s="147" t="s">
        <v>170</v>
      </c>
      <c r="B10" s="127">
        <v>7639</v>
      </c>
      <c r="C10" s="127">
        <v>4176</v>
      </c>
    </row>
    <row r="11" spans="1:3" ht="12.75">
      <c r="A11" s="131"/>
      <c r="B11" s="127"/>
      <c r="C11" s="13"/>
    </row>
    <row r="12" spans="1:3" ht="12.75">
      <c r="A12" s="131"/>
      <c r="B12" s="127"/>
      <c r="C12" s="13"/>
    </row>
    <row r="13" spans="1:3" ht="12.75">
      <c r="A13" s="131"/>
      <c r="B13" s="127"/>
      <c r="C13" s="13"/>
    </row>
    <row r="14" spans="1:3" ht="12.75">
      <c r="A14" s="131"/>
      <c r="B14" s="127"/>
      <c r="C14" s="13"/>
    </row>
    <row r="15" spans="1:3" ht="12.75">
      <c r="A15" s="131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0"/>
    </row>
    <row r="22" ht="15.75">
      <c r="A22" s="130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OCS-17k, November 2017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2017-11-13T22:59:28Z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