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<sst xmlns="http://schemas.openxmlformats.org/spreadsheetml/2006/main" count="47" uniqueCount="37">
  <si>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</si>
  <si>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</si>
  <si>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</si>
  <si>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</si>
  <si>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</si>
  <si>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</si>
  <si>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</si>
  <si>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</si>
  <si>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</si>
  <si>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</si>
  <si>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</si>
  <si>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</si>
  <si>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</si>
  <si>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</si>
  <si>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</si>
  <si>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</si>
  <si>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</si>
  <si>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</si>
  <si>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2015/16</t>
  </si>
  <si>
    <t>October</t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</si>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</sst>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166" fontId="1" fillId="0" borderId="10" xfId="42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5" t="s">
        <v>11</v>
      </c>
      <c r="C5" s="25"/>
      <c r="D5" s="25"/>
      <c r="E5" s="25"/>
      <c r="F5" s="25"/>
      <c r="G5" s="25"/>
      <c r="H5" s="25"/>
      <c r="I5" s="25"/>
      <c r="J5" s="25"/>
    </row>
    <row r="6" spans="1:10" ht="18.75">
      <c r="A6" s="2" t="s">
        <v>35</v>
      </c>
      <c r="B6" s="19">
        <f>B11</f>
        <v>260.464</v>
      </c>
      <c r="C6" s="20">
        <f>C23</f>
        <v>44671.66199999999</v>
      </c>
      <c r="D6" s="20">
        <f>D23</f>
        <v>403.4227568353921</v>
      </c>
      <c r="E6" s="20">
        <f>+B6+C6+D6</f>
        <v>45335.54875683538</v>
      </c>
      <c r="F6" s="20"/>
      <c r="G6" s="20">
        <f>+I6-H6</f>
        <v>33117.8131085507</v>
      </c>
      <c r="H6" s="20">
        <f>H23</f>
        <v>11953.849648284682</v>
      </c>
      <c r="I6" s="20">
        <f>+E6-J6</f>
        <v>45071.66275683538</v>
      </c>
      <c r="J6" s="20">
        <f>J22</f>
        <v>263.886</v>
      </c>
    </row>
    <row r="7" spans="1:10" ht="18.75">
      <c r="A7" s="2" t="s">
        <v>24</v>
      </c>
      <c r="B7" s="19">
        <f>J6</f>
        <v>263.886</v>
      </c>
      <c r="C7" s="20">
        <v>44361</v>
      </c>
      <c r="D7" s="20">
        <v>350</v>
      </c>
      <c r="E7" s="20">
        <f>+B7+C7+D7</f>
        <v>44974.886</v>
      </c>
      <c r="F7" s="20"/>
      <c r="G7" s="20">
        <f>+I7-H7</f>
        <v>33049.886</v>
      </c>
      <c r="H7" s="20">
        <v>11600</v>
      </c>
      <c r="I7" s="20">
        <f>+E7-J7</f>
        <v>44649.886</v>
      </c>
      <c r="J7" s="20">
        <v>325</v>
      </c>
    </row>
    <row r="8" spans="1:10" ht="18.75">
      <c r="A8" s="2" t="s">
        <v>36</v>
      </c>
      <c r="B8" s="19">
        <f>J7</f>
        <v>325</v>
      </c>
      <c r="C8" s="20">
        <v>46075</v>
      </c>
      <c r="D8" s="20">
        <v>300</v>
      </c>
      <c r="E8" s="20">
        <f>+B8+C8+D8</f>
        <v>46700</v>
      </c>
      <c r="F8" s="20"/>
      <c r="G8" s="20">
        <f>+I8-H8</f>
        <v>34200</v>
      </c>
      <c r="H8" s="20">
        <v>12200</v>
      </c>
      <c r="I8" s="20">
        <f>+E8-J8</f>
        <v>46400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18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19</v>
      </c>
      <c r="B11" s="21">
        <f>240.755+19.709</f>
        <v>260.464</v>
      </c>
      <c r="C11" s="17">
        <f>3742.412+258.909</f>
        <v>4001.321</v>
      </c>
      <c r="D11" s="17">
        <f>(24490.318+2973+4420.437)*2.204622/2000</f>
        <v>35.145813857804995</v>
      </c>
      <c r="E11" s="17">
        <f aca="true" t="shared" si="0" ref="E11:E22">SUM(B11:D11)</f>
        <v>4296.930813857804</v>
      </c>
      <c r="F11" s="16"/>
      <c r="G11" s="22">
        <f aca="true" t="shared" si="1" ref="G11:G22">I11-H11</f>
        <v>3011.4929684917493</v>
      </c>
      <c r="H11" s="17">
        <f>((655.834691+2.098+150.976814))*(2.204622/2)</f>
        <v>891.669845366055</v>
      </c>
      <c r="I11" s="16">
        <f aca="true" t="shared" si="2" ref="I11:I19">E11-J11</f>
        <v>3903.1628138578044</v>
      </c>
      <c r="J11" s="17">
        <f>360.253+33.515</f>
        <v>393.768</v>
      </c>
      <c r="K11" s="16"/>
      <c r="L11" s="16"/>
    </row>
    <row r="12" spans="1:12" ht="15.75">
      <c r="A12" s="3" t="s">
        <v>20</v>
      </c>
      <c r="B12" s="21">
        <f aca="true" t="shared" si="3" ref="B12:B17">J11</f>
        <v>393.768</v>
      </c>
      <c r="C12" s="17">
        <f>3655.75+251.965</f>
        <v>3907.715</v>
      </c>
      <c r="D12" s="17">
        <f>(23368.643+2935+1353.348)*2.204622/2000</f>
        <v>30.486605406201004</v>
      </c>
      <c r="E12" s="17">
        <f t="shared" si="0"/>
        <v>4331.9696054062015</v>
      </c>
      <c r="F12" s="16"/>
      <c r="G12" s="22">
        <f t="shared" si="1"/>
        <v>2766.698016205596</v>
      </c>
      <c r="H12" s="17">
        <f>((844.248393+15.814+213.576162))*(2.204622/2)</f>
        <v>1183.4835892006051</v>
      </c>
      <c r="I12" s="16">
        <f t="shared" si="2"/>
        <v>3950.1816054062015</v>
      </c>
      <c r="J12" s="17">
        <f>342.962+38.826</f>
        <v>381.788</v>
      </c>
      <c r="K12" s="16"/>
      <c r="L12" s="16"/>
    </row>
    <row r="13" spans="1:10" ht="15.75">
      <c r="A13" s="3" t="s">
        <v>21</v>
      </c>
      <c r="B13" s="21">
        <f t="shared" si="3"/>
        <v>381.788</v>
      </c>
      <c r="C13" s="17">
        <f>3669.213+262.266</f>
        <v>3931.4790000000003</v>
      </c>
      <c r="D13" s="17">
        <f>(24942.858+4082+1635.392)*2.204622/2000</f>
        <v>33.797130837750004</v>
      </c>
      <c r="E13" s="17">
        <f t="shared" si="0"/>
        <v>4347.06413083775</v>
      </c>
      <c r="F13" s="16"/>
      <c r="G13" s="22">
        <f t="shared" si="1"/>
        <v>2975.707682287575</v>
      </c>
      <c r="H13" s="17">
        <f>((745.244112+4.957+219.587313))*(2.204622/2)</f>
        <v>1069.008448550175</v>
      </c>
      <c r="I13" s="16">
        <f t="shared" si="2"/>
        <v>4044.71613083775</v>
      </c>
      <c r="J13" s="17">
        <f>270.421+31.927</f>
        <v>302.348</v>
      </c>
    </row>
    <row r="14" spans="1:10" ht="15.75">
      <c r="A14" s="3" t="s">
        <v>22</v>
      </c>
      <c r="B14" s="21">
        <f t="shared" si="3"/>
        <v>302.348</v>
      </c>
      <c r="C14" s="17">
        <f>3539.791+256.884</f>
        <v>3796.675</v>
      </c>
      <c r="D14" s="17">
        <f>(25166.958+4758+365.767)*2.204622/2000</f>
        <v>33.389799365475</v>
      </c>
      <c r="E14" s="17">
        <f t="shared" si="0"/>
        <v>4132.412799365475</v>
      </c>
      <c r="F14" s="16"/>
      <c r="G14" s="22">
        <f t="shared" si="1"/>
        <v>2621.760264703911</v>
      </c>
      <c r="H14" s="17">
        <f>((725.889237+8.801+263.534887))*(2.204622/2)</f>
        <v>1100.354534661564</v>
      </c>
      <c r="I14" s="16">
        <f t="shared" si="2"/>
        <v>3722.114799365475</v>
      </c>
      <c r="J14" s="17">
        <f>368.063+42.235</f>
        <v>410.298</v>
      </c>
    </row>
    <row r="15" spans="1:10" ht="15.75">
      <c r="A15" s="3" t="s">
        <v>23</v>
      </c>
      <c r="B15" s="21">
        <f t="shared" si="3"/>
        <v>410.298</v>
      </c>
      <c r="C15" s="17">
        <f>3425.236+241.078</f>
        <v>3666.314</v>
      </c>
      <c r="D15" s="17">
        <f>(24839.815+6908+637.385)*2.204622/2000</f>
        <v>35.6985621972</v>
      </c>
      <c r="E15" s="17">
        <f t="shared" si="0"/>
        <v>4112.3105621972</v>
      </c>
      <c r="F15" s="16"/>
      <c r="G15" s="22">
        <f t="shared" si="1"/>
        <v>2542.269476764202</v>
      </c>
      <c r="H15" s="17">
        <f>((895.545031+8.529+191.523387))*(2.204622/2)</f>
        <v>1207.6890854329981</v>
      </c>
      <c r="I15" s="16">
        <f t="shared" si="2"/>
        <v>3749.9585621972</v>
      </c>
      <c r="J15" s="17">
        <f>330.057+32.295</f>
        <v>362.35200000000003</v>
      </c>
    </row>
    <row r="16" spans="1:10" ht="15.75">
      <c r="A16" s="3" t="s">
        <v>25</v>
      </c>
      <c r="B16" s="21">
        <f t="shared" si="3"/>
        <v>362.35200000000003</v>
      </c>
      <c r="C16" s="17">
        <f>3677.248+260.298</f>
        <v>3937.5460000000003</v>
      </c>
      <c r="D16" s="17">
        <f>(29351.146+6254+320.272)*2.204622/2000</f>
        <v>39.60098344099799</v>
      </c>
      <c r="E16" s="17">
        <f t="shared" si="0"/>
        <v>4339.498983440998</v>
      </c>
      <c r="F16" s="16"/>
      <c r="G16" s="22">
        <f t="shared" si="1"/>
        <v>2995.222633777476</v>
      </c>
      <c r="H16" s="17">
        <f>((715.645611+4.575+192.569291))*(2.204622/2)</f>
        <v>1006.1783496635221</v>
      </c>
      <c r="I16" s="16">
        <f t="shared" si="2"/>
        <v>4001.400983440998</v>
      </c>
      <c r="J16" s="17">
        <f>302.672+35.426</f>
        <v>338.098</v>
      </c>
    </row>
    <row r="17" spans="1:10" ht="15.75">
      <c r="A17" s="3" t="s">
        <v>26</v>
      </c>
      <c r="B17" s="21">
        <f t="shared" si="3"/>
        <v>338.098</v>
      </c>
      <c r="C17" s="17">
        <f>3502.911+243.761</f>
        <v>3746.672</v>
      </c>
      <c r="D17" s="17">
        <f>(38480.991+3492+724.589)*2.204622/2000</f>
        <v>47.066012107380004</v>
      </c>
      <c r="E17" s="17">
        <f t="shared" si="0"/>
        <v>4131.83601210738</v>
      </c>
      <c r="F17" s="16"/>
      <c r="G17" s="22">
        <f t="shared" si="1"/>
        <v>2657.6908387043277</v>
      </c>
      <c r="H17" s="17">
        <f>((803.224929+5.187+154.906203))*(2.204622/2)</f>
        <v>1061.876173403052</v>
      </c>
      <c r="I17" s="16">
        <f t="shared" si="2"/>
        <v>3719.56701210738</v>
      </c>
      <c r="J17" s="17">
        <f>365.653+46.616</f>
        <v>412.269</v>
      </c>
    </row>
    <row r="18" spans="1:10" ht="15.75">
      <c r="A18" s="3" t="s">
        <v>27</v>
      </c>
      <c r="B18" s="21">
        <f>J17</f>
        <v>412.269</v>
      </c>
      <c r="C18" s="17">
        <f>3561.181+246.358</f>
        <v>3807.539</v>
      </c>
      <c r="D18" s="17">
        <f>(22966.963+5644+947.411)*2.204622/2000</f>
        <v>32.582520802314</v>
      </c>
      <c r="E18" s="17">
        <f t="shared" si="0"/>
        <v>4252.390520802314</v>
      </c>
      <c r="F18" s="16"/>
      <c r="G18" s="22">
        <f t="shared" si="1"/>
        <v>2812.2799784183235</v>
      </c>
      <c r="H18" s="17">
        <f>((812.336895+6.89+133.941986))*(2.204622/2)</f>
        <v>1050.688542383991</v>
      </c>
      <c r="I18" s="16">
        <f t="shared" si="2"/>
        <v>3862.9685208023143</v>
      </c>
      <c r="J18" s="17">
        <f>343.411+46.011</f>
        <v>389.422</v>
      </c>
    </row>
    <row r="19" spans="1:10" ht="15.75">
      <c r="A19" s="3" t="s">
        <v>28</v>
      </c>
      <c r="B19" s="21">
        <f>J18</f>
        <v>389.422</v>
      </c>
      <c r="C19" s="17">
        <f>3411.099+235.294</f>
        <v>3646.393</v>
      </c>
      <c r="D19" s="17">
        <f>(19679.308+2313+1350.185)*2.204622/2000</f>
        <v>25.730686801323007</v>
      </c>
      <c r="E19" s="17">
        <f t="shared" si="0"/>
        <v>4061.545686801323</v>
      </c>
      <c r="F19" s="16"/>
      <c r="G19" s="22">
        <f t="shared" si="1"/>
        <v>2990.0518689217397</v>
      </c>
      <c r="H19" s="17">
        <f>((589.374576+8.573+91.818577))*(2.204622/2)</f>
        <v>760.336817879583</v>
      </c>
      <c r="I19" s="16">
        <f t="shared" si="2"/>
        <v>3750.388686801323</v>
      </c>
      <c r="J19" s="17">
        <f>281.038+30.119</f>
        <v>311.15700000000004</v>
      </c>
    </row>
    <row r="20" spans="1:10" ht="15.75">
      <c r="A20" s="3" t="s">
        <v>29</v>
      </c>
      <c r="B20" s="21">
        <f>J19</f>
        <v>311.15700000000004</v>
      </c>
      <c r="C20" s="17">
        <f>3403.386+240.805</f>
        <v>3644.191</v>
      </c>
      <c r="D20" s="17">
        <f>(20165.229+3113+574.81)*2.204622/2000</f>
        <v>26.293467273129</v>
      </c>
      <c r="E20" s="17">
        <f t="shared" si="0"/>
        <v>3981.641467273129</v>
      </c>
      <c r="F20" s="16"/>
      <c r="G20" s="22">
        <f t="shared" si="1"/>
        <v>2543.4591645280107</v>
      </c>
      <c r="H20" s="17">
        <f>((776.598669+7.542+103.583669))*(2.204622/2)</f>
        <v>978.548302745118</v>
      </c>
      <c r="I20" s="16">
        <f>E20-J20</f>
        <v>3522.007467273129</v>
      </c>
      <c r="J20" s="17">
        <f>419.802+39.832</f>
        <v>459.634</v>
      </c>
    </row>
    <row r="21" spans="1:10" ht="15.75">
      <c r="A21" s="3" t="s">
        <v>30</v>
      </c>
      <c r="B21" s="21">
        <f>J20</f>
        <v>459.634</v>
      </c>
      <c r="C21" s="17">
        <f>3111.301+217.058</f>
        <v>3328.359</v>
      </c>
      <c r="D21" s="17">
        <f>(23685.027+3922+880.38)*2.204622/2000</f>
        <v>31.401982097577</v>
      </c>
      <c r="E21" s="17">
        <f t="shared" si="0"/>
        <v>3819.3949820975768</v>
      </c>
      <c r="F21" s="16"/>
      <c r="G21" s="22">
        <f t="shared" si="1"/>
        <v>2789.1519278875626</v>
      </c>
      <c r="H21" s="17">
        <f>((600.564703+6.676+78.208371))*(2.204622/2)</f>
        <v>755.5780542100141</v>
      </c>
      <c r="I21" s="16">
        <f>E21-J21</f>
        <v>3544.729982097577</v>
      </c>
      <c r="J21" s="17">
        <f>247.799+26.866</f>
        <v>274.665</v>
      </c>
    </row>
    <row r="22" spans="1:10" ht="15.75">
      <c r="A22" s="3" t="s">
        <v>31</v>
      </c>
      <c r="B22" s="21">
        <f>J21</f>
        <v>274.665</v>
      </c>
      <c r="C22" s="17">
        <f>3042.315+215.143</f>
        <v>3257.458</v>
      </c>
      <c r="D22" s="17">
        <f>(25177.686+3462+598.154)*2.204622/2000</f>
        <v>32.22919264824</v>
      </c>
      <c r="E22" s="17">
        <f t="shared" si="0"/>
        <v>3564.35219264824</v>
      </c>
      <c r="F22" s="16"/>
      <c r="G22" s="22">
        <f t="shared" si="1"/>
        <v>2412.028287860233</v>
      </c>
      <c r="H22" s="17">
        <f>((677.122957+2.925+125.92958))*(2.204622/2)</f>
        <v>888.437904788007</v>
      </c>
      <c r="I22" s="16">
        <f>E22-J22</f>
        <v>3300.46619264824</v>
      </c>
      <c r="J22" s="17">
        <f>233.715+30.171</f>
        <v>263.886</v>
      </c>
    </row>
    <row r="23" spans="1:10" ht="15.75">
      <c r="A23" s="3" t="s">
        <v>32</v>
      </c>
      <c r="B23" s="21"/>
      <c r="C23" s="17">
        <f>SUM(C11:C22)</f>
        <v>44671.66199999999</v>
      </c>
      <c r="D23" s="17">
        <f>SUM(D11:D22)</f>
        <v>403.4227568353921</v>
      </c>
      <c r="E23" s="17">
        <f>B11+C23+D23</f>
        <v>45335.54875683538</v>
      </c>
      <c r="F23" s="16">
        <f>SUM(F11:F12)</f>
        <v>0</v>
      </c>
      <c r="G23" s="22">
        <f>SUM(G11:G22)</f>
        <v>33117.813108550705</v>
      </c>
      <c r="H23" s="17">
        <f>SUM(H11:H22)</f>
        <v>11953.849648284682</v>
      </c>
      <c r="I23" s="16">
        <f>SUM(I11:I22)</f>
        <v>45071.66275683539</v>
      </c>
      <c r="J23" s="17"/>
    </row>
    <row r="24" spans="1:10" ht="15.75">
      <c r="A24" s="3"/>
      <c r="B24" s="16"/>
      <c r="C24" s="17"/>
      <c r="D24" s="17"/>
      <c r="E24" s="17"/>
      <c r="F24" s="16"/>
      <c r="G24" s="17"/>
      <c r="H24" s="17"/>
      <c r="I24" s="17"/>
      <c r="J24" s="16"/>
    </row>
    <row r="25" spans="1:10" ht="15.75">
      <c r="A25" s="2" t="s">
        <v>33</v>
      </c>
      <c r="B25" s="12"/>
      <c r="C25" s="17"/>
      <c r="D25" s="17"/>
      <c r="E25" s="17"/>
      <c r="F25" s="16"/>
      <c r="G25" s="17"/>
      <c r="H25" s="17"/>
      <c r="I25" s="17"/>
      <c r="J25" s="16"/>
    </row>
    <row r="26" spans="1:10" ht="15.75">
      <c r="A26" s="3" t="s">
        <v>19</v>
      </c>
      <c r="B26" s="21">
        <f>J22</f>
        <v>263.886</v>
      </c>
      <c r="C26" s="17">
        <f>3830.125+273.917</f>
        <v>4104.042</v>
      </c>
      <c r="D26" s="17">
        <f>(20102.004+3304+507.805)*2.204622/2000</f>
        <v>26.360454712599005</v>
      </c>
      <c r="E26" s="17">
        <f aca="true" t="shared" si="4" ref="E26:E31">SUM(B26:D26)</f>
        <v>4394.2884547126</v>
      </c>
      <c r="F26" s="16"/>
      <c r="G26" s="22">
        <f aca="true" t="shared" si="5" ref="G26:G31">I26-H26</f>
        <v>3084.1154310607744</v>
      </c>
      <c r="H26" s="17">
        <f>((693.141819+2.805+150.046756))*(2.204622/2)</f>
        <v>932.548023651825</v>
      </c>
      <c r="I26" s="16">
        <f aca="true" t="shared" si="6" ref="I26:I32">E26-J26</f>
        <v>4016.6634547125996</v>
      </c>
      <c r="J26" s="17">
        <f>335.413+42.212</f>
        <v>377.625</v>
      </c>
    </row>
    <row r="27" spans="1:10" ht="15.75">
      <c r="A27" s="3" t="s">
        <v>20</v>
      </c>
      <c r="B27" s="21">
        <f aca="true" t="shared" si="7" ref="B27:B32">J26</f>
        <v>377.625</v>
      </c>
      <c r="C27" s="17">
        <f>3739.093+273.414</f>
        <v>4012.5069999999996</v>
      </c>
      <c r="D27" s="17">
        <f>(21499.507+3901+120.943)*2.204622/2000</f>
        <v>28.132575070950004</v>
      </c>
      <c r="E27" s="17">
        <f t="shared" si="4"/>
        <v>4418.26457507095</v>
      </c>
      <c r="F27" s="16"/>
      <c r="G27" s="22">
        <f t="shared" si="5"/>
        <v>2997.7173049214557</v>
      </c>
      <c r="H27" s="17">
        <f>((667.273624+3.395+247.86913))*(2.204622/2)</f>
        <v>1012.5142701494941</v>
      </c>
      <c r="I27" s="16">
        <f t="shared" si="6"/>
        <v>4010.23157507095</v>
      </c>
      <c r="J27" s="17">
        <f>361.959+46.074</f>
        <v>408.033</v>
      </c>
    </row>
    <row r="28" spans="1:10" ht="15.75">
      <c r="A28" s="3" t="s">
        <v>21</v>
      </c>
      <c r="B28" s="21">
        <f t="shared" si="7"/>
        <v>408.033</v>
      </c>
      <c r="C28" s="17">
        <f>3690.668+273.479</f>
        <v>3964.147</v>
      </c>
      <c r="D28" s="17">
        <f>(19136.428+4259+130.318)*2.204622/2000</f>
        <v>25.932688599006</v>
      </c>
      <c r="E28" s="17">
        <f t="shared" si="4"/>
        <v>4398.112688599006</v>
      </c>
      <c r="F28" s="16"/>
      <c r="G28" s="22">
        <f t="shared" si="5"/>
        <v>3012.122189731065</v>
      </c>
      <c r="H28" s="17">
        <f>((650.497579+2.548+199.327752))*(2.204622/2)</f>
        <v>939.5804988679411</v>
      </c>
      <c r="I28" s="16">
        <f t="shared" si="6"/>
        <v>3951.7026885990063</v>
      </c>
      <c r="J28" s="17">
        <f>403.901+42.509</f>
        <v>446.41</v>
      </c>
    </row>
    <row r="29" spans="1:10" ht="15.75">
      <c r="A29" s="3" t="s">
        <v>22</v>
      </c>
      <c r="B29" s="21">
        <f t="shared" si="7"/>
        <v>446.41</v>
      </c>
      <c r="C29" s="17">
        <f>3752.094+260.706</f>
        <v>4012.8</v>
      </c>
      <c r="D29" s="17">
        <f>(28002.473+4355+726.884)*2.204622/2000</f>
        <v>36.469250649027</v>
      </c>
      <c r="E29" s="17">
        <f t="shared" si="4"/>
        <v>4495.679250649027</v>
      </c>
      <c r="F29" s="16"/>
      <c r="G29" s="22">
        <f t="shared" si="5"/>
        <v>2762.716568557855</v>
      </c>
      <c r="H29" s="17">
        <f>((955.04107+3.027+227.792982))*(2.204622/2)</f>
        <v>1307.187682091172</v>
      </c>
      <c r="I29" s="16">
        <f t="shared" si="6"/>
        <v>4069.9042506490273</v>
      </c>
      <c r="J29" s="17">
        <f>387.186+38.589</f>
        <v>425.775</v>
      </c>
    </row>
    <row r="30" spans="1:10" ht="15.75">
      <c r="A30" s="3" t="s">
        <v>23</v>
      </c>
      <c r="B30" s="21">
        <f t="shared" si="7"/>
        <v>425.775</v>
      </c>
      <c r="C30" s="17">
        <f>3322.036+227.357</f>
        <v>3549.393</v>
      </c>
      <c r="D30" s="17">
        <f>(28244.05+3893+387.116)*2.204622/2000</f>
        <v>35.851745947626</v>
      </c>
      <c r="E30" s="17">
        <f t="shared" si="4"/>
        <v>4011.0197459476262</v>
      </c>
      <c r="F30" s="16"/>
      <c r="G30" s="22">
        <f t="shared" si="5"/>
        <v>2561.662982516982</v>
      </c>
      <c r="H30" s="17">
        <f>((813.913628+11.508+133.305776))*(2.204622/2)</f>
        <v>1056.8157634306442</v>
      </c>
      <c r="I30" s="16">
        <f t="shared" si="6"/>
        <v>3618.478745947626</v>
      </c>
      <c r="J30" s="17">
        <f>362.627+29.914</f>
        <v>392.541</v>
      </c>
    </row>
    <row r="31" spans="1:10" ht="15.75">
      <c r="A31" s="3" t="s">
        <v>25</v>
      </c>
      <c r="B31" s="21">
        <f t="shared" si="7"/>
        <v>392.541</v>
      </c>
      <c r="C31" s="17">
        <f>3511.933+243.405</f>
        <v>3755.338</v>
      </c>
      <c r="D31" s="17">
        <f>(18840.141+3912+533.996)*2.204622/2000</f>
        <v>25.668564962607</v>
      </c>
      <c r="E31" s="17">
        <f t="shared" si="4"/>
        <v>4173.547564962607</v>
      </c>
      <c r="F31" s="16"/>
      <c r="G31" s="22">
        <f t="shared" si="5"/>
        <v>2382.4983369100137</v>
      </c>
      <c r="H31" s="17">
        <f>((1035.967822+3.391+282.778241))*(2.204622/2)</f>
        <v>1457.4062280525932</v>
      </c>
      <c r="I31" s="16">
        <f t="shared" si="6"/>
        <v>3839.904564962607</v>
      </c>
      <c r="J31" s="17">
        <f>300.938+32.705</f>
        <v>333.643</v>
      </c>
    </row>
    <row r="32" spans="1:10" ht="15.75">
      <c r="A32" s="3" t="s">
        <v>26</v>
      </c>
      <c r="B32" s="21">
        <f t="shared" si="7"/>
        <v>333.643</v>
      </c>
      <c r="C32" s="17">
        <f>3288.603+221.65</f>
        <v>3510.253</v>
      </c>
      <c r="D32" s="17">
        <f>(22651.37+3430+234.788)*2.204622/2000</f>
        <v>29.008590441138</v>
      </c>
      <c r="E32" s="17">
        <f>SUM(B32:D32)</f>
        <v>3872.904590441138</v>
      </c>
      <c r="F32" s="16"/>
      <c r="G32" s="22">
        <f>I32-H32</f>
        <v>2556.8166128871594</v>
      </c>
      <c r="H32" s="17">
        <f>((647.266616+15.782+162.156773))*(2.204622/2)</f>
        <v>909.632977553979</v>
      </c>
      <c r="I32" s="16">
        <f t="shared" si="6"/>
        <v>3466.4495904411383</v>
      </c>
      <c r="J32" s="17">
        <f>367.686+38.769</f>
        <v>406.455</v>
      </c>
    </row>
    <row r="33" spans="1:10" ht="15.75">
      <c r="A33" s="3" t="s">
        <v>27</v>
      </c>
      <c r="B33" s="21">
        <f>J32</f>
        <v>406.455</v>
      </c>
      <c r="C33" s="17">
        <f>3491.318+240.712</f>
        <v>3732.03</v>
      </c>
      <c r="D33" s="17">
        <f>(27525.607+4193+551.493)*2.204622/2000</f>
        <v>35.5716862011</v>
      </c>
      <c r="E33" s="17">
        <f>SUM(B33:D33)</f>
        <v>4174.056686201101</v>
      </c>
      <c r="F33" s="16"/>
      <c r="G33" s="22">
        <f>I33-H33</f>
        <v>2947.488491394739</v>
      </c>
      <c r="H33" s="17">
        <f>((586.449587+7.811+130.195755))*(2.204622/2)</f>
        <v>798.576194806362</v>
      </c>
      <c r="I33" s="16">
        <f>E33-J33</f>
        <v>3746.064686201101</v>
      </c>
      <c r="J33" s="17">
        <f>375.156+52.836</f>
        <v>427.992</v>
      </c>
    </row>
    <row r="34" spans="1:10" ht="15.75">
      <c r="A34" s="3" t="s">
        <v>28</v>
      </c>
      <c r="B34" s="21">
        <f>J33</f>
        <v>427.992</v>
      </c>
      <c r="C34" s="17">
        <f>3400.122+230.523</f>
        <v>3630.645</v>
      </c>
      <c r="D34" s="17">
        <f>(23961.968+3686+352.707)*2.204622/2000</f>
        <v>30.865452059924998</v>
      </c>
      <c r="E34" s="17">
        <f>SUM(B34:D34)</f>
        <v>4089.502452059925</v>
      </c>
      <c r="F34" s="16"/>
      <c r="G34" s="22">
        <f>I34-H34</f>
        <v>2888.4205448563216</v>
      </c>
      <c r="H34" s="17">
        <f>((612.308227+13.92+145.877746))*(2.204622/2)</f>
        <v>851.100907203603</v>
      </c>
      <c r="I34" s="16">
        <f>E34-J34</f>
        <v>3739.5214520599247</v>
      </c>
      <c r="J34" s="17">
        <f>314.965+35.016</f>
        <v>349.981</v>
      </c>
    </row>
    <row r="35" spans="1:10" ht="15.75">
      <c r="A35" s="1" t="s">
        <v>34</v>
      </c>
      <c r="B35" s="23"/>
      <c r="C35" s="18">
        <f>SUM(C26:C34)</f>
        <v>34271.155</v>
      </c>
      <c r="D35" s="18">
        <f>SUM(D26:D34)</f>
        <v>273.86100864397804</v>
      </c>
      <c r="E35" s="18">
        <f>B26+C35+D35</f>
        <v>34808.90200864398</v>
      </c>
      <c r="F35" s="15">
        <f>SUM(F16:F17)</f>
        <v>0</v>
      </c>
      <c r="G35" s="18">
        <f>SUM(G26:G34)</f>
        <v>25193.55846283637</v>
      </c>
      <c r="H35" s="18">
        <f>SUM(H26:H34)</f>
        <v>9265.362545807615</v>
      </c>
      <c r="I35" s="18">
        <f>SUM(I26:I34)</f>
        <v>34458.92100864398</v>
      </c>
      <c r="J35" s="18"/>
    </row>
    <row r="36" spans="1:10" ht="18.75">
      <c r="A36" s="7" t="s">
        <v>17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5.75">
      <c r="A37" s="2" t="s">
        <v>16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15.75">
      <c r="A38" s="2" t="s">
        <v>12</v>
      </c>
      <c r="B38" s="8">
        <f ca="1">NOW()</f>
        <v>42958.50407326389</v>
      </c>
      <c r="C38" s="9"/>
      <c r="D38" s="6"/>
      <c r="E38" s="6"/>
      <c r="F38" s="6"/>
      <c r="G38" s="6"/>
      <c r="H38" s="6"/>
      <c r="I38" s="6"/>
      <c r="J38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2017-08-11T16:06:10Z</dcterms:modified>
  <cp:category/>
  <cp:version/>
  <cp:contentType/>
  <cp:contentStatus/>
</cp:coreProperties>
</file>