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3/OCS-23D April 2023/"/>
    </mc:Choice>
  </mc:AlternateContent>
  <xr:revisionPtr revIDLastSave="2605" documentId="13_ncr:1_{B04AF61D-F7F3-49DC-80C9-80A45BEB53F9}" xr6:coauthVersionLast="47" xr6:coauthVersionMax="47" xr10:uidLastSave="{8D384086-C051-466C-82B9-BEFE52019780}"/>
  <bookViews>
    <workbookView xWindow="28680" yWindow="-120" windowWidth="29040" windowHeight="15840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22" r:id="rId9"/>
    <sheet name="Figure 2" sheetId="125" r:id="rId10"/>
    <sheet name="Figure 3" sheetId="114" r:id="rId11"/>
    <sheet name="Figure 4" sheetId="123" r:id="rId12"/>
  </sheets>
  <definedNames>
    <definedName name="_xlnm.Print_Area" localSheetId="1">'Table 1'!$A$1:$N$40</definedName>
    <definedName name="_xlnm.Print_Area" localSheetId="7">'Table 10'!$A$1:$G$42</definedName>
    <definedName name="_xlnm.Print_Area" localSheetId="2">'Table 2'!$A$1:$J$32</definedName>
    <definedName name="_xlnm.Print_Area" localSheetId="3">'Table 3'!$A$1:$L$45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K38" i="1"/>
  <c r="G27" i="1"/>
  <c r="H27" i="1"/>
  <c r="G38" i="1"/>
  <c r="H38" i="1" s="1"/>
  <c r="H37" i="1"/>
  <c r="H33" i="1"/>
  <c r="H22" i="1"/>
  <c r="H26" i="1"/>
  <c r="M27" i="1" l="1"/>
  <c r="M37" i="1"/>
  <c r="M38" i="1" s="1"/>
  <c r="M33" i="1"/>
  <c r="L38" i="1"/>
  <c r="K27" i="1"/>
  <c r="J27" i="1"/>
  <c r="D30" i="9" l="1"/>
  <c r="D30" i="2"/>
  <c r="J30" i="9" l="1"/>
  <c r="H30" i="2"/>
  <c r="G36" i="1" l="1"/>
  <c r="L36" i="1" l="1"/>
  <c r="F38" i="1" l="1"/>
  <c r="E37" i="1"/>
  <c r="N37" i="1" l="1"/>
  <c r="N33" i="1"/>
  <c r="B30" i="9" l="1"/>
  <c r="E30" i="9" s="1"/>
  <c r="K30" i="9" s="1"/>
  <c r="G30" i="9" s="1"/>
  <c r="B30" i="2"/>
  <c r="E30" i="2" s="1"/>
  <c r="I30" i="2" s="1"/>
  <c r="G30" i="2" s="1"/>
  <c r="J36" i="1"/>
  <c r="J37" i="1" s="1"/>
  <c r="L37" i="1"/>
  <c r="G37" i="1"/>
  <c r="K37" i="1" l="1"/>
  <c r="J29" i="9"/>
  <c r="D29" i="9"/>
  <c r="H29" i="2"/>
  <c r="D29" i="2"/>
  <c r="G35" i="1"/>
  <c r="L35" i="1"/>
  <c r="J35" i="1"/>
  <c r="J34" i="1"/>
  <c r="J32" i="1"/>
  <c r="J31" i="1"/>
  <c r="J30" i="1"/>
  <c r="J25" i="1"/>
  <c r="J24" i="1"/>
  <c r="J23" i="1"/>
  <c r="J21" i="1"/>
  <c r="J20" i="1"/>
  <c r="J19" i="1"/>
  <c r="J17" i="1"/>
  <c r="J16" i="1"/>
  <c r="B29" i="9"/>
  <c r="E29" i="9" s="1"/>
  <c r="K29" i="9" s="1"/>
  <c r="B29" i="2"/>
  <c r="E29" i="2" s="1"/>
  <c r="I29" i="2" s="1"/>
  <c r="G29" i="2" s="1"/>
  <c r="G29" i="9" l="1"/>
  <c r="I29" i="9" s="1"/>
  <c r="G34" i="1"/>
  <c r="D28" i="9"/>
  <c r="J28" i="9"/>
  <c r="H28" i="2"/>
  <c r="D28" i="2"/>
  <c r="L34" i="1"/>
  <c r="B28" i="9" l="1"/>
  <c r="E28" i="9" s="1"/>
  <c r="K28" i="9" s="1"/>
  <c r="G28" i="9" s="1"/>
  <c r="I28" i="9" s="1"/>
  <c r="B28" i="2"/>
  <c r="E28" i="2" s="1"/>
  <c r="I28" i="2" s="1"/>
  <c r="G28" i="2" s="1"/>
  <c r="N26" i="1"/>
  <c r="F33" i="1"/>
  <c r="D27" i="9" l="1"/>
  <c r="D27" i="2"/>
  <c r="J27" i="9" l="1"/>
  <c r="H27" i="2"/>
  <c r="G32" i="1" l="1"/>
  <c r="L32" i="1" l="1"/>
  <c r="B27" i="9" l="1"/>
  <c r="E27" i="9" s="1"/>
  <c r="K27" i="9" s="1"/>
  <c r="G27" i="9" s="1"/>
  <c r="I27" i="9" s="1"/>
  <c r="B27" i="2"/>
  <c r="E27" i="2" s="1"/>
  <c r="I27" i="2" s="1"/>
  <c r="G27" i="2" s="1"/>
  <c r="D26" i="9"/>
  <c r="J26" i="9"/>
  <c r="H26" i="2"/>
  <c r="D26" i="2"/>
  <c r="L31" i="1" l="1"/>
  <c r="G31" i="1"/>
  <c r="B11" i="2" l="1"/>
  <c r="I6" i="2"/>
  <c r="E6" i="2"/>
  <c r="B11" i="9"/>
  <c r="E6" i="9"/>
  <c r="K6" i="9" s="1"/>
  <c r="G6" i="9" s="1"/>
  <c r="B26" i="9"/>
  <c r="E26" i="9" s="1"/>
  <c r="K26" i="9" s="1"/>
  <c r="G26" i="9" s="1"/>
  <c r="I26" i="9" s="1"/>
  <c r="B26" i="2"/>
  <c r="E26" i="2" l="1"/>
  <c r="I26" i="2" s="1"/>
  <c r="G26" i="2" s="1"/>
  <c r="J23" i="9"/>
  <c r="H23" i="2"/>
  <c r="D23" i="9"/>
  <c r="D23" i="2"/>
  <c r="L27" i="1"/>
  <c r="H22" i="2"/>
  <c r="G30" i="1"/>
  <c r="G33" i="1" s="1"/>
  <c r="L30" i="1"/>
  <c r="L33" i="1" s="1"/>
  <c r="J22" i="9" l="1"/>
  <c r="D22" i="9"/>
  <c r="D22" i="2"/>
  <c r="E32" i="4" l="1"/>
  <c r="J33" i="1"/>
  <c r="L7" i="9" l="1"/>
  <c r="J7" i="9"/>
  <c r="H23" i="9"/>
  <c r="D7" i="9"/>
  <c r="C23" i="9"/>
  <c r="B22" i="9"/>
  <c r="E22" i="9" s="1"/>
  <c r="K22" i="9" s="1"/>
  <c r="J7" i="2"/>
  <c r="B22" i="2"/>
  <c r="E22" i="2" s="1"/>
  <c r="I22" i="2" s="1"/>
  <c r="G22" i="2" s="1"/>
  <c r="C23" i="2"/>
  <c r="C7" i="2" s="1"/>
  <c r="E14" i="1"/>
  <c r="C7" i="9" l="1"/>
  <c r="G22" i="9"/>
  <c r="I22" i="9" s="1"/>
  <c r="B44" i="6" l="1"/>
  <c r="B44" i="5"/>
  <c r="B43" i="4"/>
  <c r="B50" i="3"/>
  <c r="B33" i="9"/>
  <c r="B33" i="2"/>
  <c r="B41" i="1"/>
  <c r="D21" i="9" l="1"/>
  <c r="D21" i="2"/>
  <c r="G25" i="1" l="1"/>
  <c r="J21" i="9" l="1"/>
  <c r="H21" i="2"/>
  <c r="L25" i="1" l="1"/>
  <c r="F14" i="1" l="1"/>
  <c r="G32" i="4" l="1"/>
  <c r="F32" i="4"/>
  <c r="D32" i="4"/>
  <c r="C32" i="4"/>
  <c r="B32" i="4"/>
  <c r="E26" i="1"/>
  <c r="F27" i="1"/>
  <c r="F7" i="1" s="1"/>
  <c r="E33" i="1"/>
  <c r="K33" i="1" s="1"/>
  <c r="B21" i="2"/>
  <c r="E21" i="2" s="1"/>
  <c r="I21" i="2" s="1"/>
  <c r="G21" i="2" s="1"/>
  <c r="B21" i="9"/>
  <c r="E21" i="9" s="1"/>
  <c r="K21" i="9" s="1"/>
  <c r="N7" i="1" l="1"/>
  <c r="G21" i="9"/>
  <c r="J20" i="9"/>
  <c r="H20" i="2"/>
  <c r="I21" i="9" l="1"/>
  <c r="D20" i="9"/>
  <c r="D20" i="2"/>
  <c r="G24" i="1" l="1"/>
  <c r="L24" i="1" l="1"/>
  <c r="B20" i="9" l="1"/>
  <c r="E20" i="9" s="1"/>
  <c r="K20" i="9" s="1"/>
  <c r="G20" i="9" s="1"/>
  <c r="I20" i="9" s="1"/>
  <c r="B20" i="2"/>
  <c r="E20" i="2" s="1"/>
  <c r="I20" i="2" s="1"/>
  <c r="G20" i="2" s="1"/>
  <c r="D46" i="3" l="1"/>
  <c r="H19" i="2" l="1"/>
  <c r="H18" i="2"/>
  <c r="H17" i="2"/>
  <c r="H16" i="2"/>
  <c r="H15" i="2"/>
  <c r="H14" i="2"/>
  <c r="H13" i="2"/>
  <c r="H12" i="2"/>
  <c r="H11" i="2"/>
  <c r="H7" i="2" s="1"/>
  <c r="D19" i="2"/>
  <c r="D18" i="2"/>
  <c r="D17" i="2"/>
  <c r="D16" i="2"/>
  <c r="D15" i="2"/>
  <c r="D14" i="2"/>
  <c r="D13" i="2"/>
  <c r="D12" i="2"/>
  <c r="D11" i="2"/>
  <c r="D7" i="2" l="1"/>
  <c r="D19" i="9"/>
  <c r="D18" i="9"/>
  <c r="D17" i="9"/>
  <c r="D16" i="9"/>
  <c r="D15" i="9"/>
  <c r="D14" i="9"/>
  <c r="D13" i="9"/>
  <c r="D12" i="9"/>
  <c r="D11" i="9"/>
  <c r="J19" i="9" l="1"/>
  <c r="J18" i="9"/>
  <c r="J17" i="9"/>
  <c r="J16" i="9"/>
  <c r="J15" i="9"/>
  <c r="J14" i="9"/>
  <c r="J13" i="9"/>
  <c r="J12" i="9"/>
  <c r="J11" i="9"/>
  <c r="G23" i="1" l="1"/>
  <c r="G26" i="1" s="1"/>
  <c r="M26" i="1" s="1"/>
  <c r="G21" i="1"/>
  <c r="G20" i="1"/>
  <c r="G19" i="1"/>
  <c r="G17" i="1"/>
  <c r="G16" i="1"/>
  <c r="G15" i="1"/>
  <c r="G13" i="1"/>
  <c r="G12" i="1"/>
  <c r="G11" i="1"/>
  <c r="L23" i="1"/>
  <c r="L26" i="1" s="1"/>
  <c r="L21" i="1"/>
  <c r="L20" i="1"/>
  <c r="L19" i="1"/>
  <c r="L17" i="1"/>
  <c r="L16" i="1"/>
  <c r="L15" i="1"/>
  <c r="L13" i="1"/>
  <c r="L12" i="1"/>
  <c r="L11" i="1"/>
  <c r="J26" i="1" l="1"/>
  <c r="K26" i="1" s="1"/>
  <c r="B19" i="9"/>
  <c r="E19" i="9" s="1"/>
  <c r="K19" i="9" s="1"/>
  <c r="G19" i="9" s="1"/>
  <c r="I19" i="9" s="1"/>
  <c r="B19" i="2"/>
  <c r="E19" i="2" s="1"/>
  <c r="I19" i="2" s="1"/>
  <c r="G19" i="2" s="1"/>
  <c r="E22" i="1" l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6" i="3" l="1"/>
  <c r="H46" i="3" s="1"/>
  <c r="N46" i="3" s="1"/>
  <c r="L46" i="3" s="1"/>
  <c r="B33" i="3"/>
  <c r="E33" i="3" s="1"/>
  <c r="I33" i="3" s="1"/>
  <c r="G33" i="3" s="1"/>
  <c r="B21" i="3"/>
  <c r="E21" i="3" s="1"/>
  <c r="I21" i="3" s="1"/>
  <c r="B8" i="3"/>
  <c r="E8" i="3" s="1"/>
  <c r="J8" i="3" s="1"/>
  <c r="I8" i="3" s="1"/>
  <c r="B8" i="9"/>
  <c r="E8" i="9" s="1"/>
  <c r="K8" i="9" s="1"/>
  <c r="G8" i="9" s="1"/>
  <c r="I8" i="9" s="1"/>
  <c r="B8" i="2"/>
  <c r="E8" i="2" s="1"/>
  <c r="I8" i="2" s="1"/>
  <c r="D8" i="1"/>
  <c r="B16" i="9"/>
  <c r="B16" i="2"/>
  <c r="E16" i="2" s="1"/>
  <c r="I16" i="2" s="1"/>
  <c r="L22" i="1"/>
  <c r="J22" i="1"/>
  <c r="G22" i="1"/>
  <c r="H8" i="1" l="1"/>
  <c r="M8" i="1" s="1"/>
  <c r="K8" i="1" s="1"/>
  <c r="M22" i="1"/>
  <c r="K22" i="1" s="1"/>
  <c r="E16" i="9"/>
  <c r="K16" i="9" s="1"/>
  <c r="G16" i="9" s="1"/>
  <c r="I16" i="9" s="1"/>
  <c r="G16" i="2"/>
  <c r="B15" i="9"/>
  <c r="B15" i="2"/>
  <c r="E18" i="1"/>
  <c r="E15" i="9" l="1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7" i="9" s="1"/>
  <c r="E11" i="2"/>
  <c r="I11" i="2" s="1"/>
  <c r="E23" i="2"/>
  <c r="E7" i="2" s="1"/>
  <c r="B20" i="3"/>
  <c r="G11" i="9" l="1"/>
  <c r="K23" i="9"/>
  <c r="G11" i="2"/>
  <c r="G23" i="2" s="1"/>
  <c r="G7" i="2" s="1"/>
  <c r="I23" i="2"/>
  <c r="I7" i="2" s="1"/>
  <c r="L14" i="1"/>
  <c r="L7" i="1" s="1"/>
  <c r="G14" i="1"/>
  <c r="I11" i="9" l="1"/>
  <c r="I23" i="9" s="1"/>
  <c r="G23" i="9"/>
  <c r="G7" i="1"/>
  <c r="H14" i="1"/>
  <c r="M14" i="1" s="1"/>
  <c r="J11" i="1"/>
  <c r="J14" i="1" s="1"/>
  <c r="J7" i="1" s="1"/>
  <c r="K14" i="1" l="1"/>
  <c r="D45" i="3" l="1"/>
  <c r="B7" i="9"/>
  <c r="D7" i="1"/>
  <c r="I19" i="3" l="1"/>
  <c r="B7" i="2" l="1"/>
  <c r="K7" i="9" l="1"/>
  <c r="G7" i="9" s="1"/>
  <c r="I7" i="9" s="1"/>
  <c r="B7" i="3" l="1"/>
  <c r="E7" i="3" s="1"/>
  <c r="J7" i="3" s="1"/>
  <c r="I7" i="3" s="1"/>
  <c r="E20" i="3"/>
  <c r="G20" i="3" s="1"/>
  <c r="I20" i="3" s="1"/>
  <c r="B32" i="3"/>
  <c r="E45" i="3"/>
  <c r="H45" i="3" s="1"/>
  <c r="N45" i="3" s="1"/>
  <c r="L45" i="3" s="1"/>
  <c r="D44" i="3"/>
  <c r="E32" i="3" l="1"/>
  <c r="I32" i="3" s="1"/>
  <c r="G32" i="3" s="1"/>
  <c r="E19" i="3" l="1"/>
  <c r="H44" i="3" l="1"/>
  <c r="N44" i="3" s="1"/>
  <c r="L44" i="3" s="1"/>
  <c r="E31" i="3"/>
  <c r="E6" i="3"/>
  <c r="J6" i="3" s="1"/>
  <c r="I6" i="3" s="1"/>
  <c r="I31" i="3" l="1"/>
  <c r="G31" i="3" s="1"/>
  <c r="D6" i="1" l="1"/>
  <c r="H6" i="1" l="1"/>
  <c r="M6" i="1" s="1"/>
  <c r="K6" i="1" s="1"/>
  <c r="E7" i="1" l="1"/>
  <c r="H7" i="1" s="1"/>
  <c r="M7" i="1" s="1"/>
  <c r="K7" i="1" s="1"/>
</calcChain>
</file>

<file path=xl/sharedStrings.xml><?xml version="1.0" encoding="utf-8"?>
<sst xmlns="http://schemas.openxmlformats.org/spreadsheetml/2006/main" count="543" uniqueCount="217">
  <si>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</si>
  <si>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</si>
  <si>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</si>
  <si>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</si>
  <si>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</si>
  <si>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</si>
  <si>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</si>
  <si>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</si>
  <si>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</si>
  <si>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</si>
  <si>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</si>
  <si>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</si>
  <si>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</si>
  <si>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</si>
  <si>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</si>
  <si>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</si>
  <si>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</si>
  <si>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</si>
  <si>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</si>
  <si>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</si>
  <si>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</si>
  <si>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</si>
  <si>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</si>
  <si>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</si>
  <si>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</si>
  <si>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</si>
  <si>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</si>
  <si>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</si>
  <si>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</si>
  <si>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</si>
  <si>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</si>
  <si>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</si>
  <si>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</si>
  <si>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</si>
  <si>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</si>
  <si>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</si>
  <si>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</si>
  <si>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2021/22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</si>
  <si>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</si>
  <si>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</si>
  <si>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</si>
  <si>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</si>
  <si>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</si>
  <si>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</si>
  <si>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</si>
  <si>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</si>
  <si>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</si>
  <si>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</si>
  <si>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</si>
  <si>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</si>
  <si>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</si>
  <si>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</si>
  <si>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</si>
  <si>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</si>
  <si>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</si>
  <si>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</si>
  <si>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</si>
  <si>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</si>
  <si>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</si>
  <si>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</si>
  <si>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</si>
  <si>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</si>
  <si>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</si>
  <si>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</si>
  <si>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</si>
  <si>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</si>
  <si>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</si>
  <si>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</si>
  <si>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</si>
  <si>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</si>
  <si>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</si>
  <si>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</si>
  <si>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</si>
  <si>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</si>
  <si>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</si>
  <si>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</si>
  <si>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</si>
  <si>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</si>
  <si>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</si>
  <si>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</si>
  <si>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</si>
  <si>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</si>
  <si>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</si>
  <si>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</si>
  <si>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</si>
  <si>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</si>
  <si>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</si>
  <si>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</si>
  <si>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</si>
  <si>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</si>
  <si>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</si>
  <si>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Pounds/acre</t>
  </si>
  <si>
    <t xml:space="preserve">      Million pounds</t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</si>
  <si>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</si>
  <si>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</si>
  <si>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</si>
  <si>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</si>
  <si>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</si>
  <si>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</si>
  <si>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</si>
  <si>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</si>
  <si>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</si>
  <si>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</si>
  <si>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</si>
  <si>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</si>
  <si>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</si>
  <si>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</si>
  <si>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</si>
  <si>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</si>
  <si>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</si>
  <si>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</si>
  <si>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</si>
  <si>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</si>
  <si>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</si>
  <si>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</si>
  <si>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</si>
  <si>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</si>
  <si>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</si>
  <si>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</si>
  <si>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</si>
  <si>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</si>
  <si>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</si>
  <si>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</si>
  <si>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</si>
  <si>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</si>
  <si>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</si>
  <si>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</si>
  <si>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</si>
  <si>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</si>
  <si>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</si>
  <si>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</si>
  <si>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</si>
  <si>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</si>
  <si>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</si>
  <si>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</si>
  <si>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</si>
  <si>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</si>
  <si>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</si>
  <si>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</si>
  <si>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</si>
  <si>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</si>
  <si>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</si>
  <si>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</si>
  <si>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</si>
  <si>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</si>
  <si>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</si>
  <si>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</si>
  <si>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</si>
  <si>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</si>
  <si>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</si>
  <si>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>Marketing year</t>
  </si>
  <si>
    <t>Date</t>
  </si>
  <si>
    <t>2022/23 Mar.*</t>
  </si>
  <si>
    <t>Export price</t>
  </si>
  <si>
    <t>Delta</t>
  </si>
  <si>
    <t>Others</t>
  </si>
  <si>
    <t>2023/24*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</si>
  <si>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</si>
  <si>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</si>
  <si>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</si>
  <si>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</si>
  <si>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</si>
  <si>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</si>
  <si>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</si>
  <si>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</si>
  <si>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</si>
  <si>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</si>
  <si>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2022/23 Apr.*</t>
  </si>
  <si>
    <t>Canada</t>
  </si>
  <si>
    <t>China</t>
  </si>
  <si>
    <t>EU</t>
  </si>
  <si>
    <t>India</t>
  </si>
  <si>
    <t>Russia</t>
  </si>
  <si>
    <t>Japan</t>
  </si>
  <si>
    <t>May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</si>
  <si>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</si>
  <si>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</si>
  <si>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</si>
  <si>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</si>
  <si>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</si>
  <si>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</si>
  <si>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</si>
  <si>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</si>
  <si>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</si>
  <si>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Domestic disappearance</t>
  </si>
  <si>
    <t>Oct. 2021</t>
  </si>
  <si>
    <t>Nov. 2021</t>
  </si>
  <si>
    <t>Dec. 2021</t>
  </si>
  <si>
    <t>Jan. 2022</t>
  </si>
  <si>
    <t>Feb. 2022</t>
  </si>
  <si>
    <t>Mar. 2022</t>
  </si>
  <si>
    <t>Apr. 2022</t>
  </si>
  <si>
    <t>Oct. 2020</t>
  </si>
  <si>
    <t>Nov. 2020</t>
  </si>
  <si>
    <t>Dec. 2020</t>
  </si>
  <si>
    <t>Jan. 2021</t>
  </si>
  <si>
    <t>Feb. 2021</t>
  </si>
  <si>
    <t>Mar. 2021</t>
  </si>
  <si>
    <t>Apr. 2021</t>
  </si>
  <si>
    <t>May 2021</t>
  </si>
  <si>
    <t>Jun. 2021</t>
  </si>
  <si>
    <t>Aug. 2021</t>
  </si>
  <si>
    <t>Sep. 2021</t>
  </si>
  <si>
    <t>Jul. 2021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</si>
  <si>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</si>
  <si>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</si>
  <si>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</si>
  <si>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</si>
  <si>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</si>
  <si>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East corn belt</t>
  </si>
  <si>
    <t>West corn belt</t>
  </si>
  <si>
    <t>Central plains</t>
  </si>
  <si>
    <t>Northern plains</t>
  </si>
  <si>
    <t>Soybean meal, Argentina, Up River</t>
  </si>
  <si>
    <t>Rapeseed meal, Germany, Hamburg</t>
  </si>
  <si>
    <t>Bangladesh</t>
  </si>
  <si>
    <t>Rest of the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</si>
</sst>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_(* #,##0.00_);_(* \(#,##0.00\);_(* &quot;-&quot;_);_(@_)"/>
    <numFmt numFmtId="176" formatCode="[$-409]mmm\-yy;@"/>
    <numFmt numFmtId="177" formatCode="_(* #,##0.0_);_(* \(#,##0.0\);_(* &quot;-&quot;_);_(@_)"/>
    <numFmt numFmtId="178" formatCode="#,##0.000_);\(#,##0.000\)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38" fillId="0" borderId="0"/>
    <xf numFmtId="0" fontId="23" fillId="0" borderId="0"/>
    <xf numFmtId="0" fontId="22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4" fontId="24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7">
    <xf numFmtId="0" fontId="0" fillId="0" borderId="0" xfId="0"/>
    <xf numFmtId="0" fontId="25" fillId="0" borderId="0" xfId="8"/>
    <xf numFmtId="0" fontId="26" fillId="0" borderId="0" xfId="8" applyFont="1"/>
    <xf numFmtId="0" fontId="31" fillId="0" borderId="0" xfId="8" applyFont="1"/>
    <xf numFmtId="0" fontId="32" fillId="0" borderId="0" xfId="8" applyFont="1"/>
    <xf numFmtId="169" fontId="33" fillId="0" borderId="0" xfId="1" applyNumberFormat="1" applyFont="1" applyFill="1" applyBorder="1" applyAlignment="1">
      <alignment horizontal="center"/>
    </xf>
    <xf numFmtId="169" fontId="33" fillId="0" borderId="0" xfId="1" applyNumberFormat="1" applyFont="1" applyFill="1" applyBorder="1" applyAlignment="1">
      <alignment horizontal="right" indent="1"/>
    </xf>
    <xf numFmtId="0" fontId="39" fillId="0" borderId="0" xfId="7" applyFont="1" applyAlignment="1">
      <alignment horizontal="left"/>
    </xf>
    <xf numFmtId="0" fontId="40" fillId="0" borderId="0" xfId="5" applyFont="1" applyAlignment="1" applyProtection="1"/>
    <xf numFmtId="14" fontId="39" fillId="0" borderId="0" xfId="7" applyNumberFormat="1" applyFont="1" applyAlignment="1">
      <alignment horizontal="left"/>
    </xf>
    <xf numFmtId="0" fontId="40" fillId="0" borderId="0" xfId="4" applyFont="1" applyAlignment="1" applyProtection="1"/>
    <xf numFmtId="0" fontId="33" fillId="0" borderId="0" xfId="7" quotePrefix="1" applyFont="1" applyAlignment="1">
      <alignment horizontal="left"/>
    </xf>
    <xf numFmtId="0" fontId="33" fillId="0" borderId="0" xfId="8" applyFont="1" applyAlignment="1">
      <alignment wrapText="1"/>
    </xf>
    <xf numFmtId="169" fontId="33" fillId="0" borderId="0" xfId="1" applyNumberFormat="1" applyFont="1" applyFill="1" applyBorder="1" applyAlignment="1">
      <alignment horizontal="right"/>
    </xf>
    <xf numFmtId="2" fontId="33" fillId="0" borderId="1" xfId="0" applyNumberFormat="1" applyFont="1" applyBorder="1" applyAlignment="1">
      <alignment horizontal="right" indent="2"/>
    </xf>
    <xf numFmtId="0" fontId="33" fillId="0" borderId="1" xfId="0" applyFont="1" applyBorder="1"/>
    <xf numFmtId="0" fontId="33" fillId="0" borderId="0" xfId="0" applyFont="1"/>
    <xf numFmtId="0" fontId="33" fillId="0" borderId="2" xfId="0" applyFont="1" applyBorder="1" applyAlignment="1">
      <alignment horizontal="right"/>
    </xf>
    <xf numFmtId="0" fontId="33" fillId="0" borderId="0" xfId="0" applyFont="1" applyAlignment="1">
      <alignment horizontal="center"/>
    </xf>
    <xf numFmtId="0" fontId="0" fillId="0" borderId="2" xfId="0" applyBorder="1"/>
    <xf numFmtId="0" fontId="33" fillId="0" borderId="2" xfId="0" applyFont="1" applyBorder="1" applyAlignment="1">
      <alignment horizontal="left"/>
    </xf>
    <xf numFmtId="0" fontId="33" fillId="0" borderId="0" xfId="0" applyFont="1" applyAlignment="1">
      <alignment horizontal="right"/>
    </xf>
    <xf numFmtId="16" fontId="33" fillId="0" borderId="1" xfId="0" quotePrefix="1" applyNumberFormat="1" applyFont="1" applyBorder="1"/>
    <xf numFmtId="16" fontId="33" fillId="0" borderId="1" xfId="0" applyNumberFormat="1" applyFont="1" applyBorder="1"/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0" fontId="33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34" fillId="0" borderId="3" xfId="0" quotePrefix="1" applyFont="1" applyBorder="1" applyAlignment="1">
      <alignment horizontal="center"/>
    </xf>
    <xf numFmtId="0" fontId="34" fillId="0" borderId="0" xfId="0" quotePrefix="1" applyFont="1" applyAlignment="1">
      <alignment horizontal="right"/>
    </xf>
    <xf numFmtId="167" fontId="33" fillId="0" borderId="0" xfId="0" applyNumberFormat="1" applyFont="1" applyAlignment="1">
      <alignment horizontal="center"/>
    </xf>
    <xf numFmtId="165" fontId="33" fillId="0" borderId="0" xfId="1" applyNumberFormat="1" applyFont="1" applyFill="1" applyAlignment="1">
      <alignment horizontal="left"/>
    </xf>
    <xf numFmtId="165" fontId="33" fillId="0" borderId="0" xfId="1" applyNumberFormat="1" applyFont="1" applyFill="1" applyAlignment="1">
      <alignment horizontal="center"/>
    </xf>
    <xf numFmtId="3" fontId="33" fillId="0" borderId="0" xfId="1" applyNumberFormat="1" applyFont="1" applyFill="1" applyBorder="1" applyAlignment="1">
      <alignment horizontal="right" indent="1"/>
    </xf>
    <xf numFmtId="164" fontId="33" fillId="0" borderId="0" xfId="1" applyNumberFormat="1" applyFont="1" applyFill="1" applyBorder="1"/>
    <xf numFmtId="164" fontId="33" fillId="0" borderId="0" xfId="1" applyNumberFormat="1" applyFont="1" applyFill="1" applyBorder="1" applyAlignment="1">
      <alignment horizontal="right"/>
    </xf>
    <xf numFmtId="0" fontId="39" fillId="0" borderId="0" xfId="0" applyFont="1"/>
    <xf numFmtId="169" fontId="33" fillId="0" borderId="0" xfId="1" quotePrefix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center"/>
    </xf>
    <xf numFmtId="164" fontId="33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9" fontId="33" fillId="0" borderId="1" xfId="1" applyNumberFormat="1" applyFont="1" applyFill="1" applyBorder="1" applyAlignment="1">
      <alignment horizontal="right" indent="1"/>
    </xf>
    <xf numFmtId="164" fontId="33" fillId="0" borderId="0" xfId="1" applyNumberFormat="1" applyFont="1" applyFill="1"/>
    <xf numFmtId="14" fontId="33" fillId="0" borderId="0" xfId="0" applyNumberFormat="1" applyFont="1" applyAlignment="1">
      <alignment horizontal="left"/>
    </xf>
    <xf numFmtId="3" fontId="33" fillId="0" borderId="0" xfId="1" applyNumberFormat="1" applyFont="1" applyFill="1" applyAlignment="1">
      <alignment horizontal="right" indent="2"/>
    </xf>
    <xf numFmtId="3" fontId="33" fillId="0" borderId="0" xfId="1" applyNumberFormat="1" applyFont="1" applyFill="1" applyAlignment="1">
      <alignment horizontal="right" indent="1"/>
    </xf>
    <xf numFmtId="3" fontId="33" fillId="0" borderId="0" xfId="1" applyNumberFormat="1" applyFont="1" applyFill="1" applyAlignment="1">
      <alignment horizontal="center"/>
    </xf>
    <xf numFmtId="169" fontId="33" fillId="0" borderId="0" xfId="1" applyNumberFormat="1" applyFont="1" applyFill="1" applyBorder="1" applyAlignment="1">
      <alignment horizontal="right" indent="2"/>
    </xf>
    <xf numFmtId="169" fontId="33" fillId="0" borderId="1" xfId="1" applyNumberFormat="1" applyFont="1" applyFill="1" applyBorder="1" applyAlignment="1">
      <alignment horizontal="right" indent="2"/>
    </xf>
    <xf numFmtId="0" fontId="35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33" fillId="0" borderId="1" xfId="1" applyNumberFormat="1" applyFont="1" applyFill="1" applyBorder="1" applyAlignment="1">
      <alignment horizontal="center"/>
    </xf>
    <xf numFmtId="165" fontId="33" fillId="0" borderId="1" xfId="1" applyNumberFormat="1" applyFont="1" applyFill="1" applyBorder="1" applyAlignment="1">
      <alignment horizontal="right"/>
    </xf>
    <xf numFmtId="16" fontId="33" fillId="0" borderId="0" xfId="0" applyNumberFormat="1" applyFont="1"/>
    <xf numFmtId="0" fontId="34" fillId="0" borderId="0" xfId="0" applyFont="1" applyAlignment="1">
      <alignment horizontal="center"/>
    </xf>
    <xf numFmtId="2" fontId="33" fillId="0" borderId="0" xfId="0" applyNumberFormat="1" applyFont="1" applyAlignment="1">
      <alignment horizontal="right" indent="2"/>
    </xf>
    <xf numFmtId="170" fontId="33" fillId="0" borderId="0" xfId="0" applyNumberFormat="1" applyFont="1"/>
    <xf numFmtId="43" fontId="33" fillId="0" borderId="0" xfId="1" quotePrefix="1" applyFont="1" applyFill="1" applyBorder="1" applyAlignment="1">
      <alignment horizontal="center"/>
    </xf>
    <xf numFmtId="166" fontId="33" fillId="0" borderId="0" xfId="1" quotePrefix="1" applyNumberFormat="1" applyFont="1" applyFill="1" applyBorder="1" applyAlignment="1">
      <alignment horizontal="center"/>
    </xf>
    <xf numFmtId="43" fontId="33" fillId="0" borderId="0" xfId="1" applyFont="1" applyFill="1" applyBorder="1" applyAlignment="1">
      <alignment horizontal="center"/>
    </xf>
    <xf numFmtId="0" fontId="39" fillId="0" borderId="0" xfId="0" quotePrefix="1" applyFont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indent="1"/>
    </xf>
    <xf numFmtId="0" fontId="33" fillId="0" borderId="3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4" fillId="0" borderId="3" xfId="0" quotePrefix="1" applyFont="1" applyBorder="1"/>
    <xf numFmtId="0" fontId="34" fillId="0" borderId="3" xfId="0" applyFont="1" applyBorder="1"/>
    <xf numFmtId="43" fontId="33" fillId="0" borderId="0" xfId="1" applyFont="1" applyFill="1" applyBorder="1"/>
    <xf numFmtId="2" fontId="33" fillId="0" borderId="0" xfId="0" applyNumberFormat="1" applyFont="1" applyAlignment="1">
      <alignment horizontal="center"/>
    </xf>
    <xf numFmtId="43" fontId="33" fillId="0" borderId="0" xfId="0" applyNumberFormat="1" applyFont="1"/>
    <xf numFmtId="0" fontId="28" fillId="0" borderId="0" xfId="0" applyFont="1"/>
    <xf numFmtId="2" fontId="0" fillId="0" borderId="0" xfId="0" applyNumberFormat="1"/>
    <xf numFmtId="165" fontId="33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37" fillId="0" borderId="0" xfId="0" applyFont="1" applyAlignment="1">
      <alignment vertical="center"/>
    </xf>
    <xf numFmtId="168" fontId="33" fillId="0" borderId="0" xfId="0" applyNumberFormat="1" applyFont="1"/>
    <xf numFmtId="2" fontId="33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33" fillId="0" borderId="3" xfId="0" applyFont="1" applyBorder="1"/>
    <xf numFmtId="165" fontId="33" fillId="0" borderId="0" xfId="1" applyNumberFormat="1" applyFont="1" applyFill="1"/>
    <xf numFmtId="37" fontId="33" fillId="0" borderId="0" xfId="1" applyNumberFormat="1" applyFont="1" applyFill="1" applyBorder="1" applyAlignment="1">
      <alignment horizontal="center"/>
    </xf>
    <xf numFmtId="37" fontId="33" fillId="0" borderId="0" xfId="1" applyNumberFormat="1" applyFont="1" applyFill="1" applyBorder="1" applyAlignment="1">
      <alignment horizontal="right" indent="2"/>
    </xf>
    <xf numFmtId="165" fontId="33" fillId="0" borderId="0" xfId="1" applyNumberFormat="1" applyFont="1" applyFill="1" applyBorder="1"/>
    <xf numFmtId="37" fontId="33" fillId="0" borderId="0" xfId="1" applyNumberFormat="1" applyFont="1" applyFill="1" applyBorder="1" applyAlignment="1">
      <alignment horizontal="right" indent="1"/>
    </xf>
    <xf numFmtId="37" fontId="33" fillId="0" borderId="1" xfId="1" applyNumberFormat="1" applyFont="1" applyFill="1" applyBorder="1" applyAlignment="1">
      <alignment horizontal="center"/>
    </xf>
    <xf numFmtId="37" fontId="33" fillId="0" borderId="1" xfId="1" applyNumberFormat="1" applyFont="1" applyFill="1" applyBorder="1" applyAlignment="1">
      <alignment horizontal="right" indent="2"/>
    </xf>
    <xf numFmtId="165" fontId="33" fillId="0" borderId="1" xfId="1" applyNumberFormat="1" applyFont="1" applyFill="1" applyBorder="1"/>
    <xf numFmtId="37" fontId="33" fillId="0" borderId="1" xfId="1" applyNumberFormat="1" applyFont="1" applyFill="1" applyBorder="1" applyAlignment="1">
      <alignment horizontal="right" indent="1"/>
    </xf>
    <xf numFmtId="9" fontId="33" fillId="0" borderId="0" xfId="12" applyFont="1" applyFill="1"/>
    <xf numFmtId="1" fontId="33" fillId="0" borderId="0" xfId="0" applyNumberFormat="1" applyFont="1" applyAlignment="1">
      <alignment horizontal="center"/>
    </xf>
    <xf numFmtId="1" fontId="33" fillId="0" borderId="1" xfId="0" applyNumberFormat="1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4" fontId="33" fillId="0" borderId="0" xfId="0" applyNumberFormat="1" applyFont="1" applyAlignment="1">
      <alignment horizontal="right" inden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3" fontId="0" fillId="0" borderId="0" xfId="0" applyNumberFormat="1"/>
    <xf numFmtId="169" fontId="33" fillId="0" borderId="0" xfId="1" applyNumberFormat="1" applyFont="1" applyFill="1" applyAlignment="1">
      <alignment horizontal="center"/>
    </xf>
    <xf numFmtId="0" fontId="35" fillId="0" borderId="3" xfId="0" applyFont="1" applyBorder="1"/>
    <xf numFmtId="164" fontId="33" fillId="0" borderId="3" xfId="0" applyNumberFormat="1" applyFont="1" applyBorder="1"/>
    <xf numFmtId="43" fontId="33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24" fillId="0" borderId="0" xfId="8" applyFont="1"/>
    <xf numFmtId="0" fontId="24" fillId="0" borderId="0" xfId="0" applyFont="1"/>
    <xf numFmtId="4" fontId="42" fillId="0" borderId="0" xfId="0" applyNumberFormat="1" applyFont="1"/>
    <xf numFmtId="0" fontId="24" fillId="0" borderId="0" xfId="0" applyFont="1" applyAlignment="1">
      <alignment horizontal="right"/>
    </xf>
    <xf numFmtId="2" fontId="24" fillId="0" borderId="0" xfId="0" applyNumberFormat="1" applyFont="1" applyAlignment="1">
      <alignment horizontal="right"/>
    </xf>
    <xf numFmtId="172" fontId="28" fillId="0" borderId="0" xfId="12" applyNumberFormat="1" applyFont="1" applyFill="1"/>
    <xf numFmtId="4" fontId="0" fillId="0" borderId="0" xfId="0" applyNumberFormat="1"/>
    <xf numFmtId="169" fontId="33" fillId="0" borderId="0" xfId="1" applyNumberFormat="1" applyFont="1" applyBorder="1" applyAlignment="1">
      <alignment horizontal="right" indent="1"/>
    </xf>
    <xf numFmtId="0" fontId="24" fillId="0" borderId="0" xfId="20"/>
    <xf numFmtId="37" fontId="0" fillId="0" borderId="0" xfId="0" applyNumberFormat="1"/>
    <xf numFmtId="3" fontId="45" fillId="0" borderId="0" xfId="1" applyNumberFormat="1" applyFont="1" applyFill="1"/>
    <xf numFmtId="173" fontId="42" fillId="0" borderId="0" xfId="0" applyNumberFormat="1" applyFont="1"/>
    <xf numFmtId="174" fontId="33" fillId="0" borderId="0" xfId="1" applyNumberFormat="1" applyFont="1" applyFill="1" applyBorder="1" applyAlignment="1">
      <alignment horizontal="right" indent="2"/>
    </xf>
    <xf numFmtId="0" fontId="43" fillId="0" borderId="0" xfId="44" applyFont="1" applyAlignment="1">
      <alignment horizontal="center"/>
    </xf>
    <xf numFmtId="164" fontId="33" fillId="2" borderId="0" xfId="1" applyNumberFormat="1" applyFont="1" applyFill="1" applyBorder="1" applyAlignment="1">
      <alignment horizontal="center"/>
    </xf>
    <xf numFmtId="0" fontId="44" fillId="0" borderId="1" xfId="46" applyFont="1" applyBorder="1" applyAlignment="1">
      <alignment horizontal="center" wrapText="1"/>
    </xf>
    <xf numFmtId="0" fontId="43" fillId="0" borderId="0" xfId="46" applyFont="1" applyAlignment="1">
      <alignment horizontal="center"/>
    </xf>
    <xf numFmtId="2" fontId="33" fillId="0" borderId="1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1" fillId="0" borderId="1" xfId="0" applyNumberFormat="1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43" fillId="0" borderId="0" xfId="46" applyFont="1" applyAlignment="1">
      <alignment horizontal="center" wrapText="1"/>
    </xf>
    <xf numFmtId="4" fontId="45" fillId="0" borderId="0" xfId="1" applyNumberFormat="1" applyFont="1" applyFill="1"/>
    <xf numFmtId="37" fontId="45" fillId="0" borderId="0" xfId="1" applyNumberFormat="1" applyFont="1" applyFill="1" applyAlignment="1">
      <alignment horizontal="right"/>
    </xf>
    <xf numFmtId="0" fontId="31" fillId="0" borderId="1" xfId="20" applyFont="1" applyBorder="1" applyAlignment="1">
      <alignment horizontal="centerContinuous"/>
    </xf>
    <xf numFmtId="0" fontId="44" fillId="0" borderId="1" xfId="47" applyFont="1" applyBorder="1" applyAlignment="1">
      <alignment horizontal="center" wrapText="1"/>
    </xf>
    <xf numFmtId="0" fontId="46" fillId="0" borderId="0" xfId="0" applyFont="1"/>
    <xf numFmtId="174" fontId="45" fillId="0" borderId="0" xfId="1" applyNumberFormat="1" applyFont="1" applyFill="1" applyAlignment="1">
      <alignment horizontal="right"/>
    </xf>
    <xf numFmtId="2" fontId="41" fillId="0" borderId="0" xfId="0" applyNumberFormat="1" applyFont="1" applyAlignment="1">
      <alignment horizontal="right" indent="2"/>
    </xf>
    <xf numFmtId="0" fontId="44" fillId="0" borderId="1" xfId="48" applyFont="1" applyBorder="1" applyAlignment="1">
      <alignment horizontal="left" wrapText="1"/>
    </xf>
    <xf numFmtId="0" fontId="43" fillId="0" borderId="0" xfId="48" applyFont="1" applyAlignment="1">
      <alignment horizontal="left" wrapText="1"/>
    </xf>
    <xf numFmtId="2" fontId="43" fillId="0" borderId="0" xfId="48" applyNumberFormat="1" applyFont="1" applyAlignment="1">
      <alignment horizontal="right"/>
    </xf>
    <xf numFmtId="17" fontId="24" fillId="0" borderId="0" xfId="20" applyNumberFormat="1" applyAlignment="1">
      <alignment horizontal="left"/>
    </xf>
    <xf numFmtId="2" fontId="43" fillId="0" borderId="0" xfId="33" applyNumberFormat="1" applyFont="1" applyFill="1" applyAlignment="1">
      <alignment horizontal="right" vertical="center"/>
    </xf>
    <xf numFmtId="2" fontId="24" fillId="0" borderId="0" xfId="20" applyNumberFormat="1" applyAlignment="1">
      <alignment horizontal="right"/>
    </xf>
    <xf numFmtId="175" fontId="43" fillId="0" borderId="0" xfId="33" applyNumberFormat="1" applyFont="1" applyFill="1" applyAlignment="1">
      <alignment horizontal="center" vertical="center"/>
    </xf>
    <xf numFmtId="1" fontId="43" fillId="0" borderId="0" xfId="33" applyNumberFormat="1" applyFont="1" applyFill="1" applyAlignment="1">
      <alignment horizontal="right" vertical="center"/>
    </xf>
    <xf numFmtId="17" fontId="24" fillId="0" borderId="0" xfId="20" quotePrefix="1" applyNumberFormat="1" applyAlignment="1">
      <alignment horizontal="left"/>
    </xf>
    <xf numFmtId="0" fontId="24" fillId="0" borderId="0" xfId="20" applyAlignment="1">
      <alignment horizontal="left"/>
    </xf>
    <xf numFmtId="41" fontId="24" fillId="0" borderId="0" xfId="20" applyNumberFormat="1" applyAlignment="1">
      <alignment horizontal="left"/>
    </xf>
    <xf numFmtId="0" fontId="0" fillId="0" borderId="0" xfId="20" applyFont="1"/>
    <xf numFmtId="0" fontId="0" fillId="0" borderId="1" xfId="20" applyFont="1" applyBorder="1" applyAlignment="1">
      <alignment horizontal="centerContinuous"/>
    </xf>
    <xf numFmtId="176" fontId="0" fillId="0" borderId="0" xfId="0" applyNumberFormat="1"/>
    <xf numFmtId="0" fontId="24" fillId="0" borderId="1" xfId="0" applyFont="1" applyBorder="1" applyAlignment="1">
      <alignment wrapText="1"/>
    </xf>
    <xf numFmtId="1" fontId="24" fillId="0" borderId="0" xfId="0" applyNumberFormat="1" applyFont="1" applyAlignment="1">
      <alignment wrapText="1"/>
    </xf>
    <xf numFmtId="1" fontId="0" fillId="0" borderId="0" xfId="0" applyNumberFormat="1"/>
    <xf numFmtId="1" fontId="0" fillId="0" borderId="0" xfId="20" applyNumberFormat="1" applyFont="1"/>
    <xf numFmtId="172" fontId="0" fillId="0" borderId="0" xfId="12" applyNumberFormat="1" applyFont="1"/>
    <xf numFmtId="177" fontId="24" fillId="0" borderId="0" xfId="20" applyNumberFormat="1" applyAlignment="1">
      <alignment horizontal="left"/>
    </xf>
    <xf numFmtId="2" fontId="24" fillId="0" borderId="0" xfId="20" applyNumberFormat="1"/>
    <xf numFmtId="0" fontId="44" fillId="0" borderId="1" xfId="48" applyFont="1" applyBorder="1" applyAlignment="1">
      <alignment horizontal="right" wrapText="1"/>
    </xf>
    <xf numFmtId="39" fontId="45" fillId="0" borderId="0" xfId="1" applyNumberFormat="1" applyFont="1" applyFill="1" applyAlignment="1">
      <alignment horizontal="right"/>
    </xf>
    <xf numFmtId="39" fontId="45" fillId="0" borderId="0" xfId="1" applyNumberFormat="1" applyFont="1" applyFill="1"/>
    <xf numFmtId="39" fontId="24" fillId="0" borderId="0" xfId="20" applyNumberFormat="1"/>
    <xf numFmtId="0" fontId="0" fillId="0" borderId="0" xfId="0" quotePrefix="1"/>
    <xf numFmtId="0" fontId="31" fillId="0" borderId="0" xfId="20" applyFont="1" applyAlignment="1">
      <alignment wrapText="1"/>
    </xf>
    <xf numFmtId="14" fontId="0" fillId="0" borderId="0" xfId="20" applyNumberFormat="1" applyFont="1"/>
    <xf numFmtId="3" fontId="0" fillId="0" borderId="0" xfId="20" applyNumberFormat="1" applyFont="1" applyAlignment="1">
      <alignment horizontal="left"/>
    </xf>
    <xf numFmtId="165" fontId="0" fillId="0" borderId="0" xfId="20" applyNumberFormat="1" applyFont="1"/>
    <xf numFmtId="14" fontId="0" fillId="0" borderId="0" xfId="20" applyNumberFormat="1" applyFont="1" applyAlignment="1">
      <alignment horizontal="right"/>
    </xf>
    <xf numFmtId="169" fontId="41" fillId="0" borderId="0" xfId="1" applyNumberFormat="1" applyFont="1" applyFill="1" applyBorder="1" applyAlignment="1">
      <alignment horizontal="right"/>
    </xf>
    <xf numFmtId="0" fontId="31" fillId="0" borderId="0" xfId="20" applyFont="1"/>
    <xf numFmtId="39" fontId="45" fillId="0" borderId="0" xfId="1" applyNumberFormat="1" applyFont="1" applyFill="1" applyBorder="1" applyAlignment="1">
      <alignment horizontal="right"/>
    </xf>
    <xf numFmtId="178" fontId="24" fillId="0" borderId="0" xfId="20" applyNumberFormat="1"/>
    <xf numFmtId="0" fontId="33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2" xfId="0" quotePrefix="1" applyFont="1" applyBorder="1" applyAlignment="1">
      <alignment horizontal="center"/>
    </xf>
    <xf numFmtId="0" fontId="34" fillId="0" borderId="5" xfId="0" quotePrefix="1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5" xfId="0" applyFont="1" applyBorder="1" applyAlignment="1">
      <alignment horizontal="center"/>
    </xf>
  </cellXfs>
  <cellStyles count="50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10" xfId="48" xr:uid="{B0B7CAAA-7091-450F-85C9-52BED8D28969}"/>
    <cellStyle name="Normal 11 2" xfId="30" xr:uid="{75FDC25E-C28E-497B-82EF-A28CA2584098}"/>
    <cellStyle name="Normal 11 2 2" xfId="40" xr:uid="{AF392839-9EFD-46E7-9522-B670F46A3E86}"/>
    <cellStyle name="Normal 11 3" xfId="32" xr:uid="{5440E113-77DF-4DAD-9026-4858CCB03DB9}"/>
    <cellStyle name="Normal 11 3 2" xfId="43" xr:uid="{8321DB1C-E877-443D-8A22-A2E591665B83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00B050"/>
      <color rgb="FFFFFF00"/>
      <color rgb="FFC0502F"/>
      <color rgb="FFD99694"/>
      <color rgb="FFC0504D"/>
      <color rgb="FFFFCF01"/>
      <color rgb="FF0000FF"/>
      <color rgb="FFFA6400"/>
      <color rgb="FFFB0BCD"/>
      <color rgb="FFBE4D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 sz="1100"/>
            </a:pPr>
            <a:endParaRPr lang="en-US" sz="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Soybean planted acres by regions</a:t>
            </a:r>
            <a:endPara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220552159598252E-3"/>
          <c:y val="9.68819882275538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89401901854347E-2"/>
          <c:y val="0.21961904834278809"/>
          <c:w val="0.82949371813360118"/>
          <c:h val="0.47807769907981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rgbClr val="4F81BD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F3-43B4-BDB0-473860C146C2}"/>
              </c:ext>
            </c:extLst>
          </c:dPt>
          <c:dPt>
            <c:idx val="1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F3-43B4-BDB0-473860C146C2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F3-43B4-BDB0-473860C146C2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F3-43B4-BDB0-473860C146C2}"/>
              </c:ext>
            </c:extLst>
          </c:dPt>
          <c:dPt>
            <c:idx val="4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F3-43B4-BDB0-473860C146C2}"/>
              </c:ext>
            </c:extLst>
          </c:dPt>
          <c:dPt>
            <c:idx val="5"/>
            <c:invertIfNegative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4F3-43B4-BDB0-473860C146C2}"/>
              </c:ext>
            </c:extLst>
          </c:dPt>
          <c:cat>
            <c:strRef>
              <c:f>'Figure 1'!$A$2:$A$7</c:f>
              <c:strCache>
                <c:ptCount val="6"/>
                <c:pt idx="0">
                  <c:v>Delta</c:v>
                </c:pt>
                <c:pt idx="1">
                  <c:v>East corn belt</c:v>
                </c:pt>
                <c:pt idx="2">
                  <c:v>West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Others</c:v>
                </c:pt>
              </c:strCache>
            </c:strRef>
          </c:cat>
          <c:val>
            <c:numRef>
              <c:f>'Figure 1'!$B$2:$B$7</c:f>
              <c:numCache>
                <c:formatCode>0.00</c:formatCode>
                <c:ptCount val="6"/>
                <c:pt idx="0">
                  <c:v>6.75</c:v>
                </c:pt>
                <c:pt idx="1">
                  <c:v>26.16</c:v>
                </c:pt>
                <c:pt idx="2">
                  <c:v>23.65</c:v>
                </c:pt>
                <c:pt idx="3">
                  <c:v>10.8</c:v>
                </c:pt>
                <c:pt idx="4">
                  <c:v>10.8</c:v>
                </c:pt>
                <c:pt idx="5">
                  <c:v>9.2899999999999991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4F3-43B4-BDB0-473860C146C2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2023/24*</c:v>
                </c:pt>
              </c:strCache>
            </c:strRef>
          </c:tx>
          <c:spPr>
            <a:solidFill>
              <a:srgbClr val="9BBB59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'Figure 1'!$A$2:$A$7</c:f>
              <c:strCache>
                <c:ptCount val="6"/>
                <c:pt idx="0">
                  <c:v>Delta</c:v>
                </c:pt>
                <c:pt idx="1">
                  <c:v>East corn belt</c:v>
                </c:pt>
                <c:pt idx="2">
                  <c:v>West corn belt</c:v>
                </c:pt>
                <c:pt idx="3">
                  <c:v>Central plains</c:v>
                </c:pt>
                <c:pt idx="4">
                  <c:v>Northern plains</c:v>
                </c:pt>
                <c:pt idx="5">
                  <c:v>Others</c:v>
                </c:pt>
              </c:strCache>
            </c:strRef>
          </c:cat>
          <c:val>
            <c:numRef>
              <c:f>'Figure 1'!$C$2:$C$7</c:f>
              <c:numCache>
                <c:formatCode>0.00</c:formatCode>
                <c:ptCount val="6"/>
                <c:pt idx="0">
                  <c:v>6.57</c:v>
                </c:pt>
                <c:pt idx="1">
                  <c:v>25.9</c:v>
                </c:pt>
                <c:pt idx="2">
                  <c:v>23.65</c:v>
                </c:pt>
                <c:pt idx="3">
                  <c:v>10.35</c:v>
                </c:pt>
                <c:pt idx="4">
                  <c:v>11.85</c:v>
                </c:pt>
                <c:pt idx="5">
                  <c:v>9.1850000000000005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F3-43B4-BDB0-473860C14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21751648"/>
        <c:axId val="1821751232"/>
      </c:barChart>
      <c:catAx>
        <c:axId val="18217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232"/>
        <c:crosses val="autoZero"/>
        <c:auto val="1"/>
        <c:lblAlgn val="ctr"/>
        <c:lblOffset val="100"/>
        <c:noMultiLvlLbl val="0"/>
      </c:catAx>
      <c:valAx>
        <c:axId val="182175123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832786880261009"/>
          <c:y val="0.12653260571249195"/>
          <c:w val="0.29230766891709548"/>
          <c:h val="6.3631667082338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canola oil supply and disappearance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67952082912707E-2"/>
          <c:y val="0.15476497724339905"/>
          <c:w val="0.90135203412073495"/>
          <c:h val="0.53532901125337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2'!$B$1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>
              <a:noFill/>
            </a:ln>
            <a:effectLst/>
          </c:spPr>
          <c:invertIfNegative val="0"/>
          <c:cat>
            <c:strRef>
              <c:f>'Figure 2'!$A$2:$A$30</c:f>
              <c:strCache>
                <c:ptCount val="29"/>
                <c:pt idx="0">
                  <c:v>Oct. 2020</c:v>
                </c:pt>
                <c:pt idx="1">
                  <c:v>Nov. 2020</c:v>
                </c:pt>
                <c:pt idx="2">
                  <c:v>Dec. 2020</c:v>
                </c:pt>
                <c:pt idx="3">
                  <c:v>Jan. 2021</c:v>
                </c:pt>
                <c:pt idx="4">
                  <c:v>Feb. 2021</c:v>
                </c:pt>
                <c:pt idx="5">
                  <c:v>Mar. 2021</c:v>
                </c:pt>
                <c:pt idx="6">
                  <c:v>Apr. 2021</c:v>
                </c:pt>
                <c:pt idx="7">
                  <c:v>May 2021</c:v>
                </c:pt>
                <c:pt idx="8">
                  <c:v>Jun. 2021</c:v>
                </c:pt>
                <c:pt idx="9">
                  <c:v>Jul. 2021</c:v>
                </c:pt>
                <c:pt idx="10">
                  <c:v>Aug. 2021</c:v>
                </c:pt>
                <c:pt idx="11">
                  <c:v>Sep. 2021</c:v>
                </c:pt>
                <c:pt idx="12">
                  <c:v>Oct. 2021</c:v>
                </c:pt>
                <c:pt idx="13">
                  <c:v>Nov. 2021</c:v>
                </c:pt>
                <c:pt idx="14">
                  <c:v>Dec. 2021</c:v>
                </c:pt>
                <c:pt idx="15">
                  <c:v>Jan. 2022</c:v>
                </c:pt>
                <c:pt idx="16">
                  <c:v>Feb. 2022</c:v>
                </c:pt>
                <c:pt idx="17">
                  <c:v>Mar. 2022</c:v>
                </c:pt>
                <c:pt idx="18">
                  <c:v>Apr. 2022</c:v>
                </c:pt>
                <c:pt idx="19">
                  <c:v>May 2022</c:v>
                </c:pt>
                <c:pt idx="20">
                  <c:v>Jun. 2022</c:v>
                </c:pt>
                <c:pt idx="21">
                  <c:v>Jul. 2022</c:v>
                </c:pt>
                <c:pt idx="22">
                  <c:v>Aug. 2022</c:v>
                </c:pt>
                <c:pt idx="23">
                  <c:v>Sep. 2022</c:v>
                </c:pt>
                <c:pt idx="24">
                  <c:v>Oct. 2022</c:v>
                </c:pt>
                <c:pt idx="25">
                  <c:v>Nov. 2022</c:v>
                </c:pt>
                <c:pt idx="26">
                  <c:v>Dec. 2022</c:v>
                </c:pt>
                <c:pt idx="27">
                  <c:v>Jan. 2023</c:v>
                </c:pt>
                <c:pt idx="28">
                  <c:v>Feb. 2023</c:v>
                </c:pt>
              </c:strCache>
            </c:strRef>
          </c:cat>
          <c:val>
            <c:numRef>
              <c:f>'Figure 2'!$B$2:$B$30</c:f>
              <c:numCache>
                <c:formatCode>#,##0</c:formatCode>
                <c:ptCount val="29"/>
                <c:pt idx="0">
                  <c:v>310.86325345762401</c:v>
                </c:pt>
                <c:pt idx="1">
                  <c:v>282.065150021612</c:v>
                </c:pt>
                <c:pt idx="2">
                  <c:v>306.05431013661797</c:v>
                </c:pt>
                <c:pt idx="3">
                  <c:v>325.62805206828796</c:v>
                </c:pt>
                <c:pt idx="4">
                  <c:v>272.47526208687401</c:v>
                </c:pt>
                <c:pt idx="5">
                  <c:v>346.77743778647198</c:v>
                </c:pt>
                <c:pt idx="6">
                  <c:v>326.02885246060401</c:v>
                </c:pt>
                <c:pt idx="7">
                  <c:v>372.65265255288796</c:v>
                </c:pt>
                <c:pt idx="8">
                  <c:v>359.98952068586999</c:v>
                </c:pt>
                <c:pt idx="9">
                  <c:v>481.330185992574</c:v>
                </c:pt>
                <c:pt idx="10">
                  <c:v>373.693675354052</c:v>
                </c:pt>
                <c:pt idx="11">
                  <c:v>361.62292558502799</c:v>
                </c:pt>
                <c:pt idx="12">
                  <c:v>390.61283118898001</c:v>
                </c:pt>
                <c:pt idx="13">
                  <c:v>358.957536837448</c:v>
                </c:pt>
                <c:pt idx="14">
                  <c:v>370.30737500973203</c:v>
                </c:pt>
                <c:pt idx="15">
                  <c:v>313.48984084709201</c:v>
                </c:pt>
                <c:pt idx="16">
                  <c:v>328.48414067249797</c:v>
                </c:pt>
                <c:pt idx="17">
                  <c:v>399.57925184678203</c:v>
                </c:pt>
                <c:pt idx="18">
                  <c:v>361.94965065731202</c:v>
                </c:pt>
                <c:pt idx="19">
                  <c:v>346.91324253986403</c:v>
                </c:pt>
                <c:pt idx="20">
                  <c:v>363.579087235754</c:v>
                </c:pt>
                <c:pt idx="21">
                  <c:v>368.11553920092797</c:v>
                </c:pt>
                <c:pt idx="22">
                  <c:v>401.90226270147599</c:v>
                </c:pt>
                <c:pt idx="23">
                  <c:v>368.09371343699001</c:v>
                </c:pt>
                <c:pt idx="24">
                  <c:v>447.87305357371599</c:v>
                </c:pt>
                <c:pt idx="25">
                  <c:v>433.45790811058401</c:v>
                </c:pt>
                <c:pt idx="26">
                  <c:v>470.6538600307</c:v>
                </c:pt>
                <c:pt idx="27">
                  <c:v>503.16719350593598</c:v>
                </c:pt>
                <c:pt idx="28">
                  <c:v>480.09449501406402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7-4E94-9E18-53EDD9A7D915}"/>
            </c:ext>
          </c:extLst>
        </c:ser>
        <c:ser>
          <c:idx val="0"/>
          <c:order val="1"/>
          <c:tx>
            <c:strRef>
              <c:f>'Figure 2'!$C$1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2'!$A$2:$A$30</c:f>
              <c:strCache>
                <c:ptCount val="29"/>
                <c:pt idx="0">
                  <c:v>Oct. 2020</c:v>
                </c:pt>
                <c:pt idx="1">
                  <c:v>Nov. 2020</c:v>
                </c:pt>
                <c:pt idx="2">
                  <c:v>Dec. 2020</c:v>
                </c:pt>
                <c:pt idx="3">
                  <c:v>Jan. 2021</c:v>
                </c:pt>
                <c:pt idx="4">
                  <c:v>Feb. 2021</c:v>
                </c:pt>
                <c:pt idx="5">
                  <c:v>Mar. 2021</c:v>
                </c:pt>
                <c:pt idx="6">
                  <c:v>Apr. 2021</c:v>
                </c:pt>
                <c:pt idx="7">
                  <c:v>May 2021</c:v>
                </c:pt>
                <c:pt idx="8">
                  <c:v>Jun. 2021</c:v>
                </c:pt>
                <c:pt idx="9">
                  <c:v>Jul. 2021</c:v>
                </c:pt>
                <c:pt idx="10">
                  <c:v>Aug. 2021</c:v>
                </c:pt>
                <c:pt idx="11">
                  <c:v>Sep. 2021</c:v>
                </c:pt>
                <c:pt idx="12">
                  <c:v>Oct. 2021</c:v>
                </c:pt>
                <c:pt idx="13">
                  <c:v>Nov. 2021</c:v>
                </c:pt>
                <c:pt idx="14">
                  <c:v>Dec. 2021</c:v>
                </c:pt>
                <c:pt idx="15">
                  <c:v>Jan. 2022</c:v>
                </c:pt>
                <c:pt idx="16">
                  <c:v>Feb. 2022</c:v>
                </c:pt>
                <c:pt idx="17">
                  <c:v>Mar. 2022</c:v>
                </c:pt>
                <c:pt idx="18">
                  <c:v>Apr. 2022</c:v>
                </c:pt>
                <c:pt idx="19">
                  <c:v>May 2022</c:v>
                </c:pt>
                <c:pt idx="20">
                  <c:v>Jun. 2022</c:v>
                </c:pt>
                <c:pt idx="21">
                  <c:v>Jul. 2022</c:v>
                </c:pt>
                <c:pt idx="22">
                  <c:v>Aug. 2022</c:v>
                </c:pt>
                <c:pt idx="23">
                  <c:v>Sep. 2022</c:v>
                </c:pt>
                <c:pt idx="24">
                  <c:v>Oct. 2022</c:v>
                </c:pt>
                <c:pt idx="25">
                  <c:v>Nov. 2022</c:v>
                </c:pt>
                <c:pt idx="26">
                  <c:v>Dec. 2022</c:v>
                </c:pt>
                <c:pt idx="27">
                  <c:v>Jan. 2023</c:v>
                </c:pt>
                <c:pt idx="28">
                  <c:v>Feb. 2023</c:v>
                </c:pt>
              </c:strCache>
            </c:strRef>
          </c:cat>
          <c:val>
            <c:numRef>
              <c:f>'Figure 2'!$C$2:$C$30</c:f>
              <c:numCache>
                <c:formatCode>#,##0</c:formatCode>
                <c:ptCount val="29"/>
                <c:pt idx="0">
                  <c:v>179.03800000000001</c:v>
                </c:pt>
                <c:pt idx="1">
                  <c:v>173.51300000000001</c:v>
                </c:pt>
                <c:pt idx="2">
                  <c:v>176.69200000000001</c:v>
                </c:pt>
                <c:pt idx="3">
                  <c:v>156.81800000000001</c:v>
                </c:pt>
                <c:pt idx="4">
                  <c:v>136.767</c:v>
                </c:pt>
                <c:pt idx="5">
                  <c:v>172.196</c:v>
                </c:pt>
                <c:pt idx="6">
                  <c:v>160.03</c:v>
                </c:pt>
                <c:pt idx="7">
                  <c:v>133.761</c:v>
                </c:pt>
                <c:pt idx="8">
                  <c:v>134.53100000000001</c:v>
                </c:pt>
                <c:pt idx="9">
                  <c:v>124.634</c:v>
                </c:pt>
                <c:pt idx="10">
                  <c:v>103.99</c:v>
                </c:pt>
                <c:pt idx="11">
                  <c:v>135.81200000000001</c:v>
                </c:pt>
                <c:pt idx="12">
                  <c:v>156.61500000000001</c:v>
                </c:pt>
                <c:pt idx="13">
                  <c:v>125.126</c:v>
                </c:pt>
                <c:pt idx="14">
                  <c:v>140.696</c:v>
                </c:pt>
                <c:pt idx="15">
                  <c:v>113.003</c:v>
                </c:pt>
                <c:pt idx="16">
                  <c:v>101.075</c:v>
                </c:pt>
                <c:pt idx="17">
                  <c:v>124.42700000000001</c:v>
                </c:pt>
                <c:pt idx="18">
                  <c:v>113.295</c:v>
                </c:pt>
                <c:pt idx="19">
                  <c:v>76.861000000000004</c:v>
                </c:pt>
                <c:pt idx="20">
                  <c:v>119.992</c:v>
                </c:pt>
                <c:pt idx="21">
                  <c:v>119.152</c:v>
                </c:pt>
                <c:pt idx="22">
                  <c:v>136.548</c:v>
                </c:pt>
                <c:pt idx="23">
                  <c:v>148.45699999999999</c:v>
                </c:pt>
                <c:pt idx="24">
                  <c:v>171.28200000000001</c:v>
                </c:pt>
                <c:pt idx="25">
                  <c:v>144.96899999999999</c:v>
                </c:pt>
                <c:pt idx="26">
                  <c:v>145.91399999999999</c:v>
                </c:pt>
                <c:pt idx="27">
                  <c:v>165.78100000000001</c:v>
                </c:pt>
                <c:pt idx="28">
                  <c:v>137.28200000000001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7-4E94-9E18-53EDD9A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2'!$D$1</c:f>
              <c:strCache>
                <c:ptCount val="1"/>
                <c:pt idx="0">
                  <c:v>Domestic disappearance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2'!$A$2:$A$30</c:f>
              <c:strCache>
                <c:ptCount val="29"/>
                <c:pt idx="0">
                  <c:v>Oct. 2020</c:v>
                </c:pt>
                <c:pt idx="1">
                  <c:v>Nov. 2020</c:v>
                </c:pt>
                <c:pt idx="2">
                  <c:v>Dec. 2020</c:v>
                </c:pt>
                <c:pt idx="3">
                  <c:v>Jan. 2021</c:v>
                </c:pt>
                <c:pt idx="4">
                  <c:v>Feb. 2021</c:v>
                </c:pt>
                <c:pt idx="5">
                  <c:v>Mar. 2021</c:v>
                </c:pt>
                <c:pt idx="6">
                  <c:v>Apr. 2021</c:v>
                </c:pt>
                <c:pt idx="7">
                  <c:v>May 2021</c:v>
                </c:pt>
                <c:pt idx="8">
                  <c:v>Jun. 2021</c:v>
                </c:pt>
                <c:pt idx="9">
                  <c:v>Jul. 2021</c:v>
                </c:pt>
                <c:pt idx="10">
                  <c:v>Aug. 2021</c:v>
                </c:pt>
                <c:pt idx="11">
                  <c:v>Sep. 2021</c:v>
                </c:pt>
                <c:pt idx="12">
                  <c:v>Oct. 2021</c:v>
                </c:pt>
                <c:pt idx="13">
                  <c:v>Nov. 2021</c:v>
                </c:pt>
                <c:pt idx="14">
                  <c:v>Dec. 2021</c:v>
                </c:pt>
                <c:pt idx="15">
                  <c:v>Jan. 2022</c:v>
                </c:pt>
                <c:pt idx="16">
                  <c:v>Feb. 2022</c:v>
                </c:pt>
                <c:pt idx="17">
                  <c:v>Mar. 2022</c:v>
                </c:pt>
                <c:pt idx="18">
                  <c:v>Apr. 2022</c:v>
                </c:pt>
                <c:pt idx="19">
                  <c:v>May 2022</c:v>
                </c:pt>
                <c:pt idx="20">
                  <c:v>Jun. 2022</c:v>
                </c:pt>
                <c:pt idx="21">
                  <c:v>Jul. 2022</c:v>
                </c:pt>
                <c:pt idx="22">
                  <c:v>Aug. 2022</c:v>
                </c:pt>
                <c:pt idx="23">
                  <c:v>Sep. 2022</c:v>
                </c:pt>
                <c:pt idx="24">
                  <c:v>Oct. 2022</c:v>
                </c:pt>
                <c:pt idx="25">
                  <c:v>Nov. 2022</c:v>
                </c:pt>
                <c:pt idx="26">
                  <c:v>Dec. 2022</c:v>
                </c:pt>
                <c:pt idx="27">
                  <c:v>Jan. 2023</c:v>
                </c:pt>
                <c:pt idx="28">
                  <c:v>Feb. 2023</c:v>
                </c:pt>
              </c:strCache>
            </c:strRef>
          </c:cat>
          <c:val>
            <c:numRef>
              <c:f>'Figure 2'!$D$2:$D$30</c:f>
              <c:numCache>
                <c:formatCode>#,##0</c:formatCode>
                <c:ptCount val="29"/>
                <c:pt idx="0">
                  <c:v>448.67567687610006</c:v>
                </c:pt>
                <c:pt idx="1">
                  <c:v>449.64106800970012</c:v>
                </c:pt>
                <c:pt idx="2">
                  <c:v>421.51149400190008</c:v>
                </c:pt>
                <c:pt idx="3">
                  <c:v>447.64336092980011</c:v>
                </c:pt>
                <c:pt idx="4">
                  <c:v>427.43506672940009</c:v>
                </c:pt>
                <c:pt idx="5">
                  <c:v>493.18809030660009</c:v>
                </c:pt>
                <c:pt idx="6">
                  <c:v>426.23435854450008</c:v>
                </c:pt>
                <c:pt idx="7">
                  <c:v>463.58181823829983</c:v>
                </c:pt>
                <c:pt idx="8">
                  <c:v>473.22216942070008</c:v>
                </c:pt>
                <c:pt idx="9">
                  <c:v>607.01353084900006</c:v>
                </c:pt>
                <c:pt idx="10">
                  <c:v>483.35434319370012</c:v>
                </c:pt>
                <c:pt idx="11">
                  <c:v>446.82265969629992</c:v>
                </c:pt>
                <c:pt idx="12">
                  <c:v>520.58961500019996</c:v>
                </c:pt>
                <c:pt idx="13">
                  <c:v>470.51359249759997</c:v>
                </c:pt>
                <c:pt idx="14">
                  <c:v>479.78470268200005</c:v>
                </c:pt>
                <c:pt idx="15">
                  <c:v>412.68851579160003</c:v>
                </c:pt>
                <c:pt idx="16">
                  <c:v>396.3348747645</c:v>
                </c:pt>
                <c:pt idx="17">
                  <c:v>494.57540844710013</c:v>
                </c:pt>
                <c:pt idx="18">
                  <c:v>440.68551761650008</c:v>
                </c:pt>
                <c:pt idx="19">
                  <c:v>441.85954086590004</c:v>
                </c:pt>
                <c:pt idx="20">
                  <c:v>444.99611383180007</c:v>
                </c:pt>
                <c:pt idx="21">
                  <c:v>473.11689631109994</c:v>
                </c:pt>
                <c:pt idx="22">
                  <c:v>552.69683873600002</c:v>
                </c:pt>
                <c:pt idx="23">
                  <c:v>470.89602369749997</c:v>
                </c:pt>
                <c:pt idx="24">
                  <c:v>597.37357687389999</c:v>
                </c:pt>
                <c:pt idx="25">
                  <c:v>569.04884626530009</c:v>
                </c:pt>
                <c:pt idx="26">
                  <c:v>584.61694231609999</c:v>
                </c:pt>
                <c:pt idx="27">
                  <c:v>666.99308838230002</c:v>
                </c:pt>
                <c:pt idx="28">
                  <c:v>625.95689646300002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B7-4E94-9E18-53EDD9A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46324668551046505"/>
              <c:y val="0.833640103132348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7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Million pounds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2268995221751"/>
          <c:y val="8.6721711869349669E-2"/>
          <c:w val="0.60265344235816676"/>
          <c:h val="5.274314668999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Global rapeseed crush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6607299087614"/>
          <c:y val="0.17628667233929823"/>
          <c:w val="0.83489876265466811"/>
          <c:h val="0.48666629233057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38100"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  <c:pt idx="9">
                  <c:v>2021/2022</c:v>
                </c:pt>
                <c:pt idx="10">
                  <c:v>2022/23 Mar.*</c:v>
                </c:pt>
                <c:pt idx="11">
                  <c:v>2022/23 Apr.*</c:v>
                </c:pt>
              </c:strCache>
            </c:strRef>
          </c:cat>
          <c:val>
            <c:numRef>
              <c:f>'Figure 3'!$B$2:$B$13</c:f>
              <c:numCache>
                <c:formatCode>#,##0.00_);\(#,##0.00\)</c:formatCode>
                <c:ptCount val="12"/>
                <c:pt idx="0">
                  <c:v>0.63</c:v>
                </c:pt>
                <c:pt idx="1">
                  <c:v>0.56000000000000005</c:v>
                </c:pt>
                <c:pt idx="2">
                  <c:v>0.68</c:v>
                </c:pt>
                <c:pt idx="3">
                  <c:v>0.83399999999999996</c:v>
                </c:pt>
                <c:pt idx="4">
                  <c:v>0.81499999999999995</c:v>
                </c:pt>
                <c:pt idx="5">
                  <c:v>0.61499999999999999</c:v>
                </c:pt>
                <c:pt idx="6">
                  <c:v>0.83499999999999996</c:v>
                </c:pt>
                <c:pt idx="7">
                  <c:v>1.05</c:v>
                </c:pt>
                <c:pt idx="8">
                  <c:v>1.1000000000000001</c:v>
                </c:pt>
                <c:pt idx="9">
                  <c:v>1.175</c:v>
                </c:pt>
                <c:pt idx="10">
                  <c:v>0.68</c:v>
                </c:pt>
                <c:pt idx="1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4C6-BADD-CEAB0F59AD2E}"/>
            </c:ext>
          </c:extLst>
        </c:ser>
        <c:ser>
          <c:idx val="4"/>
          <c:order val="1"/>
          <c:tx>
            <c:strRef>
              <c:f>'Figure 3'!$C$1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  <c:pt idx="9">
                  <c:v>2021/2022</c:v>
                </c:pt>
                <c:pt idx="10">
                  <c:v>2022/23 Mar.*</c:v>
                </c:pt>
                <c:pt idx="11">
                  <c:v>2022/23 Apr.*</c:v>
                </c:pt>
              </c:strCache>
            </c:strRef>
          </c:cat>
          <c:val>
            <c:numRef>
              <c:f>'Figure 3'!$C$2:$C$13</c:f>
              <c:numCache>
                <c:formatCode>#,##0.00_);\(#,##0.00\)</c:formatCode>
                <c:ptCount val="12"/>
                <c:pt idx="0">
                  <c:v>6.7169999999999996</c:v>
                </c:pt>
                <c:pt idx="1">
                  <c:v>6.9790000000000001</c:v>
                </c:pt>
                <c:pt idx="2">
                  <c:v>7.36</c:v>
                </c:pt>
                <c:pt idx="3">
                  <c:v>8.3149999999999995</c:v>
                </c:pt>
                <c:pt idx="4">
                  <c:v>9.1910000000000007</c:v>
                </c:pt>
                <c:pt idx="5">
                  <c:v>9.2690000000000001</c:v>
                </c:pt>
                <c:pt idx="6">
                  <c:v>9.2949999999999999</c:v>
                </c:pt>
                <c:pt idx="7">
                  <c:v>10.129</c:v>
                </c:pt>
                <c:pt idx="8">
                  <c:v>10.425000000000001</c:v>
                </c:pt>
                <c:pt idx="9">
                  <c:v>8.5549999999999997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0D-44C6-BADD-CEAB0F59AD2E}"/>
            </c:ext>
          </c:extLst>
        </c:ser>
        <c:ser>
          <c:idx val="2"/>
          <c:order val="2"/>
          <c:tx>
            <c:strRef>
              <c:f>'Figure 3'!$D$1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  <c:pt idx="9">
                  <c:v>2021/2022</c:v>
                </c:pt>
                <c:pt idx="10">
                  <c:v>2022/23 Mar.*</c:v>
                </c:pt>
                <c:pt idx="11">
                  <c:v>2022/23 Apr.*</c:v>
                </c:pt>
              </c:strCache>
            </c:strRef>
          </c:cat>
          <c:val>
            <c:numRef>
              <c:f>'Figure 3'!$D$2:$D$13</c:f>
              <c:numCache>
                <c:formatCode>#,##0.00_);\(#,##0.00\)</c:formatCode>
                <c:ptCount val="12"/>
                <c:pt idx="0">
                  <c:v>16.399999999999999</c:v>
                </c:pt>
                <c:pt idx="1">
                  <c:v>18</c:v>
                </c:pt>
                <c:pt idx="2">
                  <c:v>18</c:v>
                </c:pt>
                <c:pt idx="3">
                  <c:v>17.5</c:v>
                </c:pt>
                <c:pt idx="4">
                  <c:v>16.8</c:v>
                </c:pt>
                <c:pt idx="5">
                  <c:v>17.3</c:v>
                </c:pt>
                <c:pt idx="6">
                  <c:v>16.475000000000001</c:v>
                </c:pt>
                <c:pt idx="7">
                  <c:v>15.484999999999999</c:v>
                </c:pt>
                <c:pt idx="8">
                  <c:v>16</c:v>
                </c:pt>
                <c:pt idx="9">
                  <c:v>16.399999999999999</c:v>
                </c:pt>
                <c:pt idx="10">
                  <c:v>17</c:v>
                </c:pt>
                <c:pt idx="11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D-44C6-BADD-CEAB0F59AD2E}"/>
            </c:ext>
          </c:extLst>
        </c:ser>
        <c:ser>
          <c:idx val="1"/>
          <c:order val="3"/>
          <c:tx>
            <c:strRef>
              <c:f>'Figure 3'!$E$1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  <c:pt idx="9">
                  <c:v>2021/2022</c:v>
                </c:pt>
                <c:pt idx="10">
                  <c:v>2022/23 Mar.*</c:v>
                </c:pt>
                <c:pt idx="11">
                  <c:v>2022/23 Apr.*</c:v>
                </c:pt>
              </c:strCache>
            </c:strRef>
          </c:cat>
          <c:val>
            <c:numRef>
              <c:f>'Figure 3'!$E$2:$E$13</c:f>
              <c:numCache>
                <c:formatCode>#,##0.00_);\(#,##0.00\)</c:formatCode>
                <c:ptCount val="12"/>
                <c:pt idx="0">
                  <c:v>22.75</c:v>
                </c:pt>
                <c:pt idx="1">
                  <c:v>23.95</c:v>
                </c:pt>
                <c:pt idx="2">
                  <c:v>25.35</c:v>
                </c:pt>
                <c:pt idx="3">
                  <c:v>24.3</c:v>
                </c:pt>
                <c:pt idx="4">
                  <c:v>22.3</c:v>
                </c:pt>
                <c:pt idx="5">
                  <c:v>22.05</c:v>
                </c:pt>
                <c:pt idx="6">
                  <c:v>21.45</c:v>
                </c:pt>
                <c:pt idx="7">
                  <c:v>21.1</c:v>
                </c:pt>
                <c:pt idx="8">
                  <c:v>22.3</c:v>
                </c:pt>
                <c:pt idx="9">
                  <c:v>21.8</c:v>
                </c:pt>
                <c:pt idx="10">
                  <c:v>24.2</c:v>
                </c:pt>
                <c:pt idx="11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7-474B-A6D1-DC0A1528C05A}"/>
            </c:ext>
          </c:extLst>
        </c:ser>
        <c:ser>
          <c:idx val="5"/>
          <c:order val="4"/>
          <c:tx>
            <c:strRef>
              <c:f>'Figure 3'!$F$1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  <c:pt idx="9">
                  <c:v>2021/2022</c:v>
                </c:pt>
                <c:pt idx="10">
                  <c:v>2022/23 Mar.*</c:v>
                </c:pt>
                <c:pt idx="11">
                  <c:v>2022/23 Apr.*</c:v>
                </c:pt>
              </c:strCache>
            </c:strRef>
          </c:cat>
          <c:val>
            <c:numRef>
              <c:f>'Figure 3'!$F$2:$F$13</c:f>
              <c:numCache>
                <c:formatCode>#,##0.00_);\(#,##0.00\)</c:formatCode>
                <c:ptCount val="12"/>
                <c:pt idx="0">
                  <c:v>5.9</c:v>
                </c:pt>
                <c:pt idx="1">
                  <c:v>6</c:v>
                </c:pt>
                <c:pt idx="2">
                  <c:v>4.2</c:v>
                </c:pt>
                <c:pt idx="3">
                  <c:v>5</c:v>
                </c:pt>
                <c:pt idx="4">
                  <c:v>5.7</c:v>
                </c:pt>
                <c:pt idx="5">
                  <c:v>6.2</c:v>
                </c:pt>
                <c:pt idx="6">
                  <c:v>6.9</c:v>
                </c:pt>
                <c:pt idx="7">
                  <c:v>7</c:v>
                </c:pt>
                <c:pt idx="8">
                  <c:v>7.5</c:v>
                </c:pt>
                <c:pt idx="9">
                  <c:v>9.65</c:v>
                </c:pt>
                <c:pt idx="10">
                  <c:v>10.199999999999999</c:v>
                </c:pt>
                <c:pt idx="11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7-474B-A6D1-DC0A1528C05A}"/>
            </c:ext>
          </c:extLst>
        </c:ser>
        <c:ser>
          <c:idx val="6"/>
          <c:order val="5"/>
          <c:tx>
            <c:strRef>
              <c:f>'Figure 3'!$G$1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  <c:pt idx="9">
                  <c:v>2021/2022</c:v>
                </c:pt>
                <c:pt idx="10">
                  <c:v>2022/23 Mar.*</c:v>
                </c:pt>
                <c:pt idx="11">
                  <c:v>2022/23 Apr.*</c:v>
                </c:pt>
              </c:strCache>
            </c:strRef>
          </c:cat>
          <c:val>
            <c:numRef>
              <c:f>'Figure 3'!$G$2:$G$13</c:f>
              <c:numCache>
                <c:formatCode>#,##0.00_);\(#,##0.00\)</c:formatCode>
                <c:ptCount val="12"/>
                <c:pt idx="0">
                  <c:v>2.4380000000000002</c:v>
                </c:pt>
                <c:pt idx="1">
                  <c:v>2.4</c:v>
                </c:pt>
                <c:pt idx="2">
                  <c:v>2.4729999999999999</c:v>
                </c:pt>
                <c:pt idx="3">
                  <c:v>2.3519999999999999</c:v>
                </c:pt>
                <c:pt idx="4">
                  <c:v>2.4</c:v>
                </c:pt>
                <c:pt idx="5">
                  <c:v>2.3149999999999999</c:v>
                </c:pt>
                <c:pt idx="6">
                  <c:v>2.3969999999999998</c:v>
                </c:pt>
                <c:pt idx="7">
                  <c:v>2.2690000000000001</c:v>
                </c:pt>
                <c:pt idx="8">
                  <c:v>2.355</c:v>
                </c:pt>
                <c:pt idx="9">
                  <c:v>2.1190000000000002</c:v>
                </c:pt>
                <c:pt idx="10">
                  <c:v>2.4</c:v>
                </c:pt>
                <c:pt idx="11">
                  <c:v>2.4420000000000002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77-474B-A6D1-DC0A1528C05A}"/>
            </c:ext>
          </c:extLst>
        </c:ser>
        <c:ser>
          <c:idx val="3"/>
          <c:order val="6"/>
          <c:tx>
            <c:strRef>
              <c:f>'Figure 3'!$H$1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  <c:pt idx="9">
                  <c:v>2021/2022</c:v>
                </c:pt>
                <c:pt idx="10">
                  <c:v>2022/23 Mar.*</c:v>
                </c:pt>
                <c:pt idx="11">
                  <c:v>2022/23 Apr.*</c:v>
                </c:pt>
              </c:strCache>
            </c:strRef>
          </c:cat>
          <c:val>
            <c:numRef>
              <c:f>'Figure 3'!$H$2:$H$13</c:f>
              <c:numCache>
                <c:formatCode>#,##0.00_);\(#,##0.00\)</c:formatCode>
                <c:ptCount val="12"/>
                <c:pt idx="0">
                  <c:v>0.9</c:v>
                </c:pt>
                <c:pt idx="1">
                  <c:v>1.05</c:v>
                </c:pt>
                <c:pt idx="2">
                  <c:v>1.18</c:v>
                </c:pt>
                <c:pt idx="3">
                  <c:v>0.99</c:v>
                </c:pt>
                <c:pt idx="4">
                  <c:v>0.9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1.85</c:v>
                </c:pt>
                <c:pt idx="9">
                  <c:v>2.2999999999999998</c:v>
                </c:pt>
                <c:pt idx="10">
                  <c:v>3.15</c:v>
                </c:pt>
                <c:pt idx="11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7-474B-A6D1-DC0A1528C05A}"/>
            </c:ext>
          </c:extLst>
        </c:ser>
        <c:ser>
          <c:idx val="7"/>
          <c:order val="7"/>
          <c:tx>
            <c:strRef>
              <c:f>'Figure 3'!$I$1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2012/2013</c:v>
                </c:pt>
                <c:pt idx="1">
                  <c:v>2013/2014</c:v>
                </c:pt>
                <c:pt idx="2">
                  <c:v>2014/2015</c:v>
                </c:pt>
                <c:pt idx="3">
                  <c:v>2015/2016</c:v>
                </c:pt>
                <c:pt idx="4">
                  <c:v>2016/2017</c:v>
                </c:pt>
                <c:pt idx="5">
                  <c:v>2017/2018</c:v>
                </c:pt>
                <c:pt idx="6">
                  <c:v>2018/2019</c:v>
                </c:pt>
                <c:pt idx="7">
                  <c:v>2019/2020</c:v>
                </c:pt>
                <c:pt idx="8">
                  <c:v>2020/2021</c:v>
                </c:pt>
                <c:pt idx="9">
                  <c:v>2021/2022</c:v>
                </c:pt>
                <c:pt idx="10">
                  <c:v>2022/23 Mar.*</c:v>
                </c:pt>
                <c:pt idx="11">
                  <c:v>2022/23 Apr.*</c:v>
                </c:pt>
              </c:strCache>
            </c:strRef>
          </c:cat>
          <c:val>
            <c:numRef>
              <c:f>'Figure 3'!$I$2:$I$13</c:f>
              <c:numCache>
                <c:formatCode>#,##0.00_);\(#,##0.00\)</c:formatCode>
                <c:ptCount val="12"/>
                <c:pt idx="0">
                  <c:v>6.524</c:v>
                </c:pt>
                <c:pt idx="1">
                  <c:v>7.5969999999999995</c:v>
                </c:pt>
                <c:pt idx="2">
                  <c:v>8.229000000000001</c:v>
                </c:pt>
                <c:pt idx="3">
                  <c:v>7.7279999999999998</c:v>
                </c:pt>
                <c:pt idx="4">
                  <c:v>9.7190000000000012</c:v>
                </c:pt>
                <c:pt idx="5">
                  <c:v>9.8810000000000002</c:v>
                </c:pt>
                <c:pt idx="6">
                  <c:v>9.8299999999999983</c:v>
                </c:pt>
                <c:pt idx="7">
                  <c:v>10.325999999999999</c:v>
                </c:pt>
                <c:pt idx="8">
                  <c:v>10.168000000000001</c:v>
                </c:pt>
                <c:pt idx="9">
                  <c:v>9.6079999999999988</c:v>
                </c:pt>
                <c:pt idx="10">
                  <c:v>11.052</c:v>
                </c:pt>
                <c:pt idx="11">
                  <c:v>11.054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0-46F8-80DA-3D0EAAFB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7710036245469317"/>
              <c:y val="0.8250937639926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4684726909136365E-3"/>
              <c:y val="6.85410119699163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524809398825146"/>
          <c:y val="0.12506502830643926"/>
          <c:w val="0.81248298861553658"/>
          <c:h val="4.798293489487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Rapeseed meal and soybean meal prices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838822778731599E-2"/>
          <c:y val="0.24152994671652667"/>
          <c:w val="0.85671571004735547"/>
          <c:h val="0.4984249773962201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4'!$B$2</c:f>
              <c:strCache>
                <c:ptCount val="1"/>
                <c:pt idx="0">
                  <c:v>Rapeseed meal, Germany, Hamburg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4'!$A$3:$A$45</c:f>
              <c:numCache>
                <c:formatCode>[$-409]mmm\-yy;@</c:formatCode>
                <c:ptCount val="4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</c:numCache>
            </c:numRef>
          </c:cat>
          <c:val>
            <c:numRef>
              <c:f>'Figure 4'!$B$3:$B$45</c:f>
              <c:numCache>
                <c:formatCode>0</c:formatCode>
                <c:ptCount val="43"/>
                <c:pt idx="0">
                  <c:v>216.03913043478261</c:v>
                </c:pt>
                <c:pt idx="1">
                  <c:v>220.55857142857144</c:v>
                </c:pt>
                <c:pt idx="2">
                  <c:v>235.58000000000004</c:v>
                </c:pt>
                <c:pt idx="3">
                  <c:v>235.52304347826086</c:v>
                </c:pt>
                <c:pt idx="4">
                  <c:v>233.82399999999998</c:v>
                </c:pt>
                <c:pt idx="5">
                  <c:v>243.41727272727277</c:v>
                </c:pt>
                <c:pt idx="6">
                  <c:v>271.69772727272726</c:v>
                </c:pt>
                <c:pt idx="7">
                  <c:v>237.25380952380951</c:v>
                </c:pt>
                <c:pt idx="8">
                  <c:v>227.50136363636364</c:v>
                </c:pt>
                <c:pt idx="9">
                  <c:v>224.62260869565216</c:v>
                </c:pt>
                <c:pt idx="10">
                  <c:v>237.22285714285712</c:v>
                </c:pt>
                <c:pt idx="11">
                  <c:v>263.42500000000001</c:v>
                </c:pt>
                <c:pt idx="12">
                  <c:v>287.28818181818178</c:v>
                </c:pt>
                <c:pt idx="13">
                  <c:v>293.57761904761912</c:v>
                </c:pt>
                <c:pt idx="14">
                  <c:v>294.21869565217384</c:v>
                </c:pt>
                <c:pt idx="15">
                  <c:v>337.16428571428577</c:v>
                </c:pt>
                <c:pt idx="16">
                  <c:v>347.61199999999997</c:v>
                </c:pt>
                <c:pt idx="17">
                  <c:v>332.31260869565216</c:v>
                </c:pt>
                <c:pt idx="18">
                  <c:v>326.5886363636364</c:v>
                </c:pt>
                <c:pt idx="19">
                  <c:v>328.79761904761898</c:v>
                </c:pt>
                <c:pt idx="20">
                  <c:v>296.15318181818191</c:v>
                </c:pt>
                <c:pt idx="21">
                  <c:v>294.10227272727258</c:v>
                </c:pt>
                <c:pt idx="22">
                  <c:v>304.03136363636366</c:v>
                </c:pt>
                <c:pt idx="23">
                  <c:v>307.94500000000005</c:v>
                </c:pt>
                <c:pt idx="24">
                  <c:v>334.67476190476185</c:v>
                </c:pt>
                <c:pt idx="25">
                  <c:v>346.90409090909077</c:v>
                </c:pt>
                <c:pt idx="26">
                  <c:v>380.13608695652169</c:v>
                </c:pt>
                <c:pt idx="27">
                  <c:v>410.42428571428582</c:v>
                </c:pt>
                <c:pt idx="28">
                  <c:v>409.05950000000001</c:v>
                </c:pt>
                <c:pt idx="29">
                  <c:v>506.52739130434782</c:v>
                </c:pt>
                <c:pt idx="30">
                  <c:v>533.00238095238103</c:v>
                </c:pt>
                <c:pt idx="31">
                  <c:v>419.20636363636362</c:v>
                </c:pt>
                <c:pt idx="32">
                  <c:v>358.82636363636368</c:v>
                </c:pt>
                <c:pt idx="33">
                  <c:v>326.77952380952377</c:v>
                </c:pt>
                <c:pt idx="34">
                  <c:v>354.78695652173906</c:v>
                </c:pt>
                <c:pt idx="35">
                  <c:v>339.69590909090903</c:v>
                </c:pt>
                <c:pt idx="36">
                  <c:v>361.8590476190476</c:v>
                </c:pt>
                <c:pt idx="37">
                  <c:v>355.16772727272729</c:v>
                </c:pt>
                <c:pt idx="38">
                  <c:v>362.31909090909085</c:v>
                </c:pt>
                <c:pt idx="39">
                  <c:v>387.34681818181815</c:v>
                </c:pt>
                <c:pt idx="40">
                  <c:v>385.26800000000009</c:v>
                </c:pt>
                <c:pt idx="41">
                  <c:v>360.89826086956515</c:v>
                </c:pt>
                <c:pt idx="42">
                  <c:v>347.34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6D-4A57-BAAE-F339CFAF6A93}"/>
            </c:ext>
          </c:extLst>
        </c:ser>
        <c:ser>
          <c:idx val="0"/>
          <c:order val="1"/>
          <c:tx>
            <c:strRef>
              <c:f>'Figure 4'!$C$2</c:f>
              <c:strCache>
                <c:ptCount val="1"/>
                <c:pt idx="0">
                  <c:v>Soybean meal, Argentina, Up River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4'!$A$3:$A$45</c:f>
              <c:numCache>
                <c:formatCode>[$-409]mmm\-yy;@</c:formatCode>
                <c:ptCount val="43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  <c:pt idx="14">
                  <c:v>44166</c:v>
                </c:pt>
                <c:pt idx="15">
                  <c:v>44197</c:v>
                </c:pt>
                <c:pt idx="16">
                  <c:v>44228</c:v>
                </c:pt>
                <c:pt idx="17">
                  <c:v>44256</c:v>
                </c:pt>
                <c:pt idx="18">
                  <c:v>44287</c:v>
                </c:pt>
                <c:pt idx="19">
                  <c:v>44317</c:v>
                </c:pt>
                <c:pt idx="20">
                  <c:v>44348</c:v>
                </c:pt>
                <c:pt idx="21">
                  <c:v>44378</c:v>
                </c:pt>
                <c:pt idx="22">
                  <c:v>44409</c:v>
                </c:pt>
                <c:pt idx="23">
                  <c:v>44440</c:v>
                </c:pt>
                <c:pt idx="24">
                  <c:v>44470</c:v>
                </c:pt>
                <c:pt idx="25">
                  <c:v>44501</c:v>
                </c:pt>
                <c:pt idx="26">
                  <c:v>44531</c:v>
                </c:pt>
                <c:pt idx="27">
                  <c:v>44562</c:v>
                </c:pt>
                <c:pt idx="28">
                  <c:v>44593</c:v>
                </c:pt>
                <c:pt idx="29">
                  <c:v>44621</c:v>
                </c:pt>
                <c:pt idx="30">
                  <c:v>44652</c:v>
                </c:pt>
                <c:pt idx="31">
                  <c:v>44682</c:v>
                </c:pt>
                <c:pt idx="32">
                  <c:v>44713</c:v>
                </c:pt>
                <c:pt idx="33">
                  <c:v>44743</c:v>
                </c:pt>
                <c:pt idx="34">
                  <c:v>44774</c:v>
                </c:pt>
                <c:pt idx="35">
                  <c:v>44805</c:v>
                </c:pt>
                <c:pt idx="36">
                  <c:v>44835</c:v>
                </c:pt>
                <c:pt idx="37">
                  <c:v>44866</c:v>
                </c:pt>
                <c:pt idx="38">
                  <c:v>44896</c:v>
                </c:pt>
                <c:pt idx="39">
                  <c:v>44927</c:v>
                </c:pt>
                <c:pt idx="40">
                  <c:v>44958</c:v>
                </c:pt>
                <c:pt idx="41">
                  <c:v>44986</c:v>
                </c:pt>
                <c:pt idx="42">
                  <c:v>45017</c:v>
                </c:pt>
              </c:numCache>
            </c:numRef>
          </c:cat>
          <c:val>
            <c:numRef>
              <c:f>'Figure 4'!$C$3:$C$45</c:f>
              <c:numCache>
                <c:formatCode>0</c:formatCode>
                <c:ptCount val="43"/>
                <c:pt idx="0">
                  <c:v>308.56521739130437</c:v>
                </c:pt>
                <c:pt idx="1">
                  <c:v>319.61904761904759</c:v>
                </c:pt>
                <c:pt idx="2">
                  <c:v>328.27272727272725</c:v>
                </c:pt>
                <c:pt idx="3">
                  <c:v>336.3478260869565</c:v>
                </c:pt>
                <c:pt idx="4">
                  <c:v>329.6</c:v>
                </c:pt>
                <c:pt idx="5">
                  <c:v>348.45454545454544</c:v>
                </c:pt>
                <c:pt idx="6">
                  <c:v>328.27272727272725</c:v>
                </c:pt>
                <c:pt idx="7">
                  <c:v>317.90476190476193</c:v>
                </c:pt>
                <c:pt idx="8">
                  <c:v>319.09090909090907</c:v>
                </c:pt>
                <c:pt idx="9">
                  <c:v>325.60869565217394</c:v>
                </c:pt>
                <c:pt idx="10">
                  <c:v>337.14285714285717</c:v>
                </c:pt>
                <c:pt idx="11">
                  <c:v>377.04545454545456</c:v>
                </c:pt>
                <c:pt idx="12">
                  <c:v>434.40909090909093</c:v>
                </c:pt>
                <c:pt idx="13">
                  <c:v>462.52380952380952</c:v>
                </c:pt>
                <c:pt idx="14">
                  <c:v>471.13043478260869</c:v>
                </c:pt>
                <c:pt idx="15">
                  <c:v>515.95238095238096</c:v>
                </c:pt>
                <c:pt idx="16">
                  <c:v>476.4</c:v>
                </c:pt>
                <c:pt idx="17">
                  <c:v>432.04347826086956</c:v>
                </c:pt>
                <c:pt idx="18">
                  <c:v>433.77272727272725</c:v>
                </c:pt>
                <c:pt idx="19">
                  <c:v>438.52380952380952</c:v>
                </c:pt>
                <c:pt idx="20">
                  <c:v>406.90909090909093</c:v>
                </c:pt>
                <c:pt idx="21">
                  <c:v>396.04545454545456</c:v>
                </c:pt>
                <c:pt idx="22">
                  <c:v>392.63636363636363</c:v>
                </c:pt>
                <c:pt idx="23">
                  <c:v>401.72727272727275</c:v>
                </c:pt>
                <c:pt idx="24">
                  <c:v>386.52380952380952</c:v>
                </c:pt>
                <c:pt idx="25">
                  <c:v>392.86363636363637</c:v>
                </c:pt>
                <c:pt idx="26">
                  <c:v>425.17391304347825</c:v>
                </c:pt>
                <c:pt idx="27">
                  <c:v>464.61904761904759</c:v>
                </c:pt>
                <c:pt idx="28">
                  <c:v>505.15</c:v>
                </c:pt>
                <c:pt idx="29">
                  <c:v>547.695652173913</c:v>
                </c:pt>
                <c:pt idx="30">
                  <c:v>515.71428571428567</c:v>
                </c:pt>
                <c:pt idx="31">
                  <c:v>473.04545454545456</c:v>
                </c:pt>
                <c:pt idx="32">
                  <c:v>476</c:v>
                </c:pt>
                <c:pt idx="33">
                  <c:v>486.09523809523807</c:v>
                </c:pt>
                <c:pt idx="34">
                  <c:v>488.95652173913044</c:v>
                </c:pt>
                <c:pt idx="35">
                  <c:v>479.81818181818181</c:v>
                </c:pt>
                <c:pt idx="36">
                  <c:v>486.6</c:v>
                </c:pt>
                <c:pt idx="37">
                  <c:v>482.36363636363637</c:v>
                </c:pt>
                <c:pt idx="38">
                  <c:v>539.40909090909088</c:v>
                </c:pt>
                <c:pt idx="39">
                  <c:v>584.40909090909088</c:v>
                </c:pt>
                <c:pt idx="40">
                  <c:v>587.54999999999995</c:v>
                </c:pt>
                <c:pt idx="41">
                  <c:v>544.17391304347825</c:v>
                </c:pt>
                <c:pt idx="42">
                  <c:v>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D-4A57-BAAE-F339CFAF6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46513370442745483"/>
              <c:y val="0.85451461125887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tickMarkSkip val="1"/>
        <c:noMultiLvlLbl val="0"/>
      </c:catAx>
      <c:valAx>
        <c:axId val="667170632"/>
        <c:scaling>
          <c:orientation val="minMax"/>
          <c:max val="600"/>
          <c:min val="1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</a:t>
                </a:r>
                <a:r>
                  <a:rPr lang="en-US" sz="900" baseline="0"/>
                  <a:t> per</a:t>
                </a:r>
                <a:r>
                  <a:rPr lang="en-US" sz="900"/>
                  <a:t> metric ton, free on board (FOB)</a:t>
                </a:r>
              </a:p>
            </c:rich>
          </c:tx>
          <c:layout>
            <c:manualLayout>
              <c:xMode val="edge"/>
              <c:yMode val="edge"/>
              <c:x val="8.1457655807230748E-3"/>
              <c:y val="0.15979577594606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0443696392232941E-2"/>
          <c:y val="0.10068947347490656"/>
          <c:w val="0.85269052152868907"/>
          <c:h val="6.2355841883400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523874</xdr:colOff>
      <xdr:row>0</xdr:row>
      <xdr:rowOff>59055</xdr:rowOff>
    </xdr:from>
    <xdr:to>
      <xdr:col>12</xdr:col>
      <xdr:colOff>617219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1A16C8-FD30-4EDA-90EC-327A54A47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0.00254</cdr:x>
      <cdr:y>0.77376</cdr:y>
    </cdr:from>
    <cdr:to>
      <cdr:x>0.99393</cdr:x>
      <cdr:y>0.99321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3365" y="2606039"/>
          <a:ext cx="5216508" cy="739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Delta: Arkansas, Louisiana, Mississippi, Eastern corn belt: Illinois, Indiana, Ohio, Michigan, and Wisconsin, Western corn belt: Iowa, Minnesota, Missouri, and Central plains: Kansas and Nebraska, Northern plains: North Dakota and South Dakota. 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March 1 planting intentions.</a:t>
          </a:r>
        </a:p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National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Statistics Service Quick Stats </a:t>
          </a:r>
          <a:r>
            <a:rPr lang="en-US" sz="90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0.01448</cdr:x>
      <cdr:y>0.13363</cdr:y>
    </cdr:from>
    <cdr:to>
      <cdr:x>0.16654</cdr:x>
      <cdr:y>0.1804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FF2DE771-20AE-430C-AADC-FDC5E004D32C}"/>
            </a:ext>
          </a:extLst>
        </cdr:cNvPr>
        <cdr:cNvSpPr/>
      </cdr:nvSpPr>
      <cdr:spPr bwMode="auto">
        <a:xfrm xmlns:a="http://schemas.openxmlformats.org/drawingml/2006/main">
          <a:off x="76191" y="457200"/>
          <a:ext cx="800111" cy="160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Million acres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97153</xdr:colOff>
      <xdr:row>0</xdr:row>
      <xdr:rowOff>314325</xdr:rowOff>
    </xdr:from>
    <xdr:to>
      <xdr:col>14</xdr:col>
      <xdr:colOff>554353</xdr:colOff>
      <xdr:row>24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816443-B20A-4F00-B816-48F6B5CCC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0.87324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90266"/>
          <a:ext cx="5943600" cy="492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USDA, Foreign Agricultural Service,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Global Agricultural Trade System (GATS);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and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National Agricultural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Statistics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Fats and Oils: Oilseed Crushings, Production, Consumption and Stocks.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200024</xdr:colOff>
      <xdr:row>0</xdr:row>
      <xdr:rowOff>0</xdr:rowOff>
    </xdr:from>
    <xdr:to>
      <xdr:col>20</xdr:col>
      <xdr:colOff>40004</xdr:colOff>
      <xdr:row>22</xdr:row>
      <xdr:rowOff>116205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0B1B2F6-4BDF-48CE-83C3-2964329A0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0.86835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15615"/>
          <a:ext cx="6400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= European Union.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Asterisk (*) denotes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607692</xdr:colOff>
      <xdr:row>4</xdr:row>
      <xdr:rowOff>47625</xdr:rowOff>
    </xdr:from>
    <xdr:to>
      <xdr:col>15</xdr:col>
      <xdr:colOff>466725</xdr:colOff>
      <xdr:row>31</xdr:row>
      <xdr:rowOff>66675</xdr:rowOff>
    </xdr:to>
    <xdr:graphicFrame macro="">
      <xdr:nvGraphicFramePr>
        <xdr:cNvPr id="233" name="Chart 1">
          <a:extLst>
            <a:ext uri="{FF2B5EF4-FFF2-40B4-BE49-F238E27FC236}">
              <a16:creationId xmlns:a16="http://schemas.microsoft.com/office/drawing/2014/main" id="{D9218C9C-9CF6-487C-950C-140B1EC77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0.90604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4128607"/>
          <a:ext cx="6730368" cy="428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International Grains Council.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105"/>
      <c r="C1" s="10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105"/>
    </row>
    <row r="5" spans="1:3">
      <c r="A5" s="10" t="s">
        <v>3</v>
      </c>
      <c r="B5" s="4"/>
      <c r="C5" s="105"/>
    </row>
    <row r="6" spans="1:3">
      <c r="A6" s="10" t="s">
        <v>4</v>
      </c>
      <c r="B6" s="4"/>
      <c r="C6" s="105"/>
    </row>
    <row r="7" spans="1:3">
      <c r="A7" s="10" t="s">
        <v>5</v>
      </c>
      <c r="B7" s="4"/>
      <c r="C7" s="105"/>
    </row>
    <row r="8" spans="1:3">
      <c r="A8" s="10" t="s">
        <v>6</v>
      </c>
      <c r="B8" s="4"/>
      <c r="C8" s="105"/>
    </row>
    <row r="9" spans="1:3">
      <c r="A9" s="10" t="s">
        <v>7</v>
      </c>
      <c r="B9" s="4"/>
      <c r="C9" s="105"/>
    </row>
    <row r="10" spans="1:3">
      <c r="A10" s="10" t="s">
        <v>8</v>
      </c>
      <c r="B10" s="4"/>
      <c r="C10" s="105"/>
    </row>
    <row r="11" spans="1:3">
      <c r="A11" s="10" t="s">
        <v>9</v>
      </c>
      <c r="B11" s="4"/>
      <c r="C11" s="105"/>
    </row>
    <row r="12" spans="1:3">
      <c r="A12" s="10" t="s">
        <v>10</v>
      </c>
      <c r="B12" s="4"/>
      <c r="C12" s="105"/>
    </row>
    <row r="13" spans="1:3">
      <c r="A13" s="11" t="s">
        <v>11</v>
      </c>
      <c r="B13" s="4"/>
      <c r="C13" s="105"/>
    </row>
    <row r="14" spans="1:3" ht="13.2">
      <c r="A14" s="105"/>
      <c r="B14" s="105"/>
      <c r="C14" s="105"/>
    </row>
    <row r="15" spans="1:3">
      <c r="A15" s="7" t="s">
        <v>12</v>
      </c>
      <c r="B15" s="105"/>
      <c r="C15" s="105"/>
    </row>
    <row r="16" spans="1:3">
      <c r="A16" s="9">
        <v>45027</v>
      </c>
      <c r="B16" s="105"/>
      <c r="C16" s="10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5E29-63F8-4719-A6B4-47EE34BDE6CF}">
  <dimension ref="A1:G269"/>
  <sheetViews>
    <sheetView workbookViewId="0">
      <selection activeCell="R22" sqref="R22"/>
    </sheetView>
  </sheetViews>
  <sheetFormatPr defaultRowHeight="13.2"/>
  <cols>
    <col min="1" max="1" width="13.109375" style="146" customWidth="1"/>
    <col min="2" max="2" width="12" style="146" bestFit="1" customWidth="1"/>
    <col min="3" max="3" width="10.6640625" style="146" bestFit="1" customWidth="1"/>
    <col min="4" max="4" width="14.5546875" style="146" customWidth="1"/>
    <col min="5" max="16384" width="8.88671875" style="146"/>
  </cols>
  <sheetData>
    <row r="1" spans="1:7" ht="26.4">
      <c r="A1" s="161" t="s">
        <v>151</v>
      </c>
      <c r="B1" s="161" t="s">
        <v>27</v>
      </c>
      <c r="C1" s="161" t="s">
        <v>26</v>
      </c>
      <c r="D1" s="161" t="s">
        <v>184</v>
      </c>
      <c r="E1" s="161"/>
    </row>
    <row r="2" spans="1:7">
      <c r="A2" s="160" t="s">
        <v>192</v>
      </c>
      <c r="B2" s="99">
        <v>310.86325345762401</v>
      </c>
      <c r="C2" s="99">
        <v>179.03800000000001</v>
      </c>
      <c r="D2" s="99">
        <v>448.67567687610006</v>
      </c>
      <c r="E2" s="164"/>
      <c r="F2" s="164"/>
      <c r="G2" s="164"/>
    </row>
    <row r="3" spans="1:7">
      <c r="A3" s="160" t="s">
        <v>193</v>
      </c>
      <c r="B3" s="99">
        <v>282.065150021612</v>
      </c>
      <c r="C3" s="99">
        <v>173.51300000000001</v>
      </c>
      <c r="D3" s="99">
        <v>449.64106800970012</v>
      </c>
      <c r="E3" s="164"/>
      <c r="F3" s="164"/>
    </row>
    <row r="4" spans="1:7">
      <c r="A4" s="160" t="s">
        <v>194</v>
      </c>
      <c r="B4" s="99">
        <v>306.05431013661797</v>
      </c>
      <c r="C4" s="99">
        <v>176.69200000000001</v>
      </c>
      <c r="D4" s="99">
        <v>421.51149400190008</v>
      </c>
      <c r="E4" s="164"/>
      <c r="F4" s="164"/>
    </row>
    <row r="5" spans="1:7">
      <c r="A5" s="160" t="s">
        <v>195</v>
      </c>
      <c r="B5" s="99">
        <v>325.62805206828796</v>
      </c>
      <c r="C5" s="99">
        <v>156.81800000000001</v>
      </c>
      <c r="D5" s="99">
        <v>447.64336092980011</v>
      </c>
      <c r="E5" s="164"/>
      <c r="F5" s="164"/>
    </row>
    <row r="6" spans="1:7">
      <c r="A6" s="160" t="s">
        <v>196</v>
      </c>
      <c r="B6" s="99">
        <v>272.47526208687401</v>
      </c>
      <c r="C6" s="99">
        <v>136.767</v>
      </c>
      <c r="D6" s="99">
        <v>427.43506672940009</v>
      </c>
      <c r="E6" s="164"/>
      <c r="F6" s="164"/>
    </row>
    <row r="7" spans="1:7">
      <c r="A7" s="160" t="s">
        <v>197</v>
      </c>
      <c r="B7" s="99">
        <v>346.77743778647198</v>
      </c>
      <c r="C7" s="99">
        <v>172.196</v>
      </c>
      <c r="D7" s="99">
        <v>493.18809030660009</v>
      </c>
      <c r="E7" s="164"/>
      <c r="F7" s="164"/>
    </row>
    <row r="8" spans="1:7">
      <c r="A8" s="160" t="s">
        <v>198</v>
      </c>
      <c r="B8" s="99">
        <v>326.02885246060401</v>
      </c>
      <c r="C8" s="99">
        <v>160.03</v>
      </c>
      <c r="D8" s="99">
        <v>426.23435854450008</v>
      </c>
      <c r="E8" s="164"/>
      <c r="F8" s="164"/>
    </row>
    <row r="9" spans="1:7">
      <c r="A9" s="160" t="s">
        <v>199</v>
      </c>
      <c r="B9" s="99">
        <v>372.65265255288796</v>
      </c>
      <c r="C9" s="99">
        <v>133.761</v>
      </c>
      <c r="D9" s="99">
        <v>463.58181823829983</v>
      </c>
      <c r="E9" s="164"/>
      <c r="F9" s="164"/>
    </row>
    <row r="10" spans="1:7">
      <c r="A10" s="160" t="s">
        <v>200</v>
      </c>
      <c r="B10" s="99">
        <v>359.98952068586999</v>
      </c>
      <c r="C10" s="99">
        <v>134.53100000000001</v>
      </c>
      <c r="D10" s="99">
        <v>473.22216942070008</v>
      </c>
      <c r="E10" s="164"/>
      <c r="F10" s="164"/>
    </row>
    <row r="11" spans="1:7">
      <c r="A11" s="160" t="s">
        <v>203</v>
      </c>
      <c r="B11" s="99">
        <v>481.330185992574</v>
      </c>
      <c r="C11" s="99">
        <v>124.634</v>
      </c>
      <c r="D11" s="99">
        <v>607.01353084900006</v>
      </c>
      <c r="E11" s="164"/>
      <c r="F11" s="164"/>
    </row>
    <row r="12" spans="1:7">
      <c r="A12" s="160" t="s">
        <v>201</v>
      </c>
      <c r="B12" s="99">
        <v>373.693675354052</v>
      </c>
      <c r="C12" s="99">
        <v>103.99</v>
      </c>
      <c r="D12" s="99">
        <v>483.35434319370012</v>
      </c>
      <c r="E12" s="164"/>
      <c r="F12" s="164"/>
    </row>
    <row r="13" spans="1:7">
      <c r="A13" s="160" t="s">
        <v>202</v>
      </c>
      <c r="B13" s="99">
        <v>361.62292558502799</v>
      </c>
      <c r="C13" s="99">
        <v>135.81200000000001</v>
      </c>
      <c r="D13" s="99">
        <v>446.82265969629992</v>
      </c>
      <c r="E13" s="164"/>
      <c r="F13" s="164"/>
    </row>
    <row r="14" spans="1:7">
      <c r="A14" s="160" t="s">
        <v>185</v>
      </c>
      <c r="B14" s="99">
        <v>390.61283118898001</v>
      </c>
      <c r="C14" s="99">
        <v>156.61500000000001</v>
      </c>
      <c r="D14" s="99">
        <v>520.58961500019996</v>
      </c>
      <c r="E14" s="164"/>
      <c r="F14" s="164"/>
    </row>
    <row r="15" spans="1:7">
      <c r="A15" s="160" t="s">
        <v>186</v>
      </c>
      <c r="B15" s="99">
        <v>358.957536837448</v>
      </c>
      <c r="C15" s="99">
        <v>125.126</v>
      </c>
      <c r="D15" s="99">
        <v>470.51359249759997</v>
      </c>
      <c r="E15" s="164"/>
      <c r="F15" s="164"/>
    </row>
    <row r="16" spans="1:7">
      <c r="A16" s="160" t="s">
        <v>187</v>
      </c>
      <c r="B16" s="99">
        <v>370.30737500973203</v>
      </c>
      <c r="C16" s="99">
        <v>140.696</v>
      </c>
      <c r="D16" s="99">
        <v>479.78470268200005</v>
      </c>
      <c r="E16" s="164"/>
      <c r="F16" s="164"/>
    </row>
    <row r="17" spans="1:6">
      <c r="A17" s="160" t="s">
        <v>188</v>
      </c>
      <c r="B17" s="99">
        <v>313.48984084709201</v>
      </c>
      <c r="C17" s="99">
        <v>113.003</v>
      </c>
      <c r="D17" s="99">
        <v>412.68851579160003</v>
      </c>
      <c r="E17" s="164"/>
      <c r="F17" s="164"/>
    </row>
    <row r="18" spans="1:6">
      <c r="A18" s="160" t="s">
        <v>189</v>
      </c>
      <c r="B18" s="99">
        <v>328.48414067249797</v>
      </c>
      <c r="C18" s="99">
        <v>101.075</v>
      </c>
      <c r="D18" s="99">
        <v>396.3348747645</v>
      </c>
      <c r="E18" s="164"/>
      <c r="F18" s="164"/>
    </row>
    <row r="19" spans="1:6">
      <c r="A19" s="160" t="s">
        <v>190</v>
      </c>
      <c r="B19" s="99">
        <v>399.57925184678203</v>
      </c>
      <c r="C19" s="99">
        <v>124.42700000000001</v>
      </c>
      <c r="D19" s="99">
        <v>494.57540844710013</v>
      </c>
      <c r="E19" s="164"/>
      <c r="F19" s="164"/>
    </row>
    <row r="20" spans="1:6">
      <c r="A20" s="160" t="s">
        <v>191</v>
      </c>
      <c r="B20" s="99">
        <v>361.94965065731202</v>
      </c>
      <c r="C20" s="99">
        <v>113.295</v>
      </c>
      <c r="D20" s="99">
        <v>440.68551761650008</v>
      </c>
      <c r="E20" s="164"/>
      <c r="F20" s="164"/>
    </row>
    <row r="21" spans="1:6">
      <c r="A21" s="160" t="s">
        <v>174</v>
      </c>
      <c r="B21" s="99">
        <v>346.91324253986403</v>
      </c>
      <c r="C21" s="99">
        <v>76.861000000000004</v>
      </c>
      <c r="D21" s="99">
        <v>441.85954086590004</v>
      </c>
      <c r="E21" s="164"/>
      <c r="F21" s="164"/>
    </row>
    <row r="22" spans="1:6">
      <c r="A22" s="160" t="s">
        <v>175</v>
      </c>
      <c r="B22" s="99">
        <v>363.579087235754</v>
      </c>
      <c r="C22" s="99">
        <v>119.992</v>
      </c>
      <c r="D22" s="99">
        <v>444.99611383180007</v>
      </c>
      <c r="E22" s="164"/>
      <c r="F22" s="164"/>
    </row>
    <row r="23" spans="1:6">
      <c r="A23" s="160" t="s">
        <v>176</v>
      </c>
      <c r="B23" s="99">
        <v>368.11553920092797</v>
      </c>
      <c r="C23" s="99">
        <v>119.152</v>
      </c>
      <c r="D23" s="99">
        <v>473.11689631109994</v>
      </c>
      <c r="E23" s="164"/>
      <c r="F23" s="164"/>
    </row>
    <row r="24" spans="1:6">
      <c r="A24" s="160" t="s">
        <v>177</v>
      </c>
      <c r="B24" s="99">
        <v>401.90226270147599</v>
      </c>
      <c r="C24" s="99">
        <v>136.548</v>
      </c>
      <c r="D24" s="99">
        <v>552.69683873600002</v>
      </c>
      <c r="E24" s="164"/>
      <c r="F24" s="164"/>
    </row>
    <row r="25" spans="1:6">
      <c r="A25" s="160" t="s">
        <v>178</v>
      </c>
      <c r="B25" s="99">
        <v>368.09371343699001</v>
      </c>
      <c r="C25" s="99">
        <v>148.45699999999999</v>
      </c>
      <c r="D25" s="99">
        <v>470.89602369749997</v>
      </c>
      <c r="E25" s="164"/>
      <c r="F25" s="164"/>
    </row>
    <row r="26" spans="1:6">
      <c r="A26" s="160" t="s">
        <v>179</v>
      </c>
      <c r="B26" s="99">
        <v>447.87305357371599</v>
      </c>
      <c r="C26" s="99">
        <v>171.28200000000001</v>
      </c>
      <c r="D26" s="99">
        <v>597.37357687389999</v>
      </c>
      <c r="E26" s="164"/>
      <c r="F26" s="164"/>
    </row>
    <row r="27" spans="1:6">
      <c r="A27" s="160" t="s">
        <v>180</v>
      </c>
      <c r="B27" s="99">
        <v>433.45790811058401</v>
      </c>
      <c r="C27" s="99">
        <v>144.96899999999999</v>
      </c>
      <c r="D27" s="99">
        <v>569.04884626530009</v>
      </c>
      <c r="F27" s="164"/>
    </row>
    <row r="28" spans="1:6">
      <c r="A28" s="160" t="s">
        <v>181</v>
      </c>
      <c r="B28" s="99">
        <v>470.6538600307</v>
      </c>
      <c r="C28" s="99">
        <v>145.91399999999999</v>
      </c>
      <c r="D28" s="99">
        <v>584.61694231609999</v>
      </c>
      <c r="E28" s="164"/>
      <c r="F28" s="164"/>
    </row>
    <row r="29" spans="1:6">
      <c r="A29" s="160" t="s">
        <v>182</v>
      </c>
      <c r="B29" s="99">
        <v>503.16719350593598</v>
      </c>
      <c r="C29" s="99">
        <v>165.78100000000001</v>
      </c>
      <c r="D29" s="99">
        <v>666.99308838230002</v>
      </c>
      <c r="E29" s="164"/>
      <c r="F29" s="164"/>
    </row>
    <row r="30" spans="1:6">
      <c r="A30" s="160" t="s">
        <v>183</v>
      </c>
      <c r="B30" s="99">
        <v>480.09449501406402</v>
      </c>
      <c r="C30" s="99">
        <v>137.28200000000001</v>
      </c>
      <c r="D30" s="99">
        <v>625.95689646300002</v>
      </c>
      <c r="E30" s="164"/>
      <c r="F30" s="164"/>
    </row>
    <row r="31" spans="1:6">
      <c r="A31" s="162"/>
      <c r="B31" s="163"/>
      <c r="C31" s="163"/>
      <c r="D31" s="164"/>
      <c r="E31" s="164"/>
      <c r="F31" s="164"/>
    </row>
    <row r="32" spans="1:6">
      <c r="A32" s="162"/>
      <c r="B32" s="163"/>
      <c r="C32" s="163"/>
      <c r="D32" s="164"/>
      <c r="E32" s="164"/>
      <c r="F32" s="164"/>
    </row>
    <row r="33" spans="1:6">
      <c r="A33" s="162"/>
      <c r="B33" s="163"/>
      <c r="C33" s="163"/>
      <c r="D33" s="164"/>
      <c r="E33" s="164"/>
      <c r="F33" s="164"/>
    </row>
    <row r="34" spans="1:6">
      <c r="A34" s="162"/>
      <c r="B34" s="163"/>
      <c r="C34" s="163"/>
      <c r="D34" s="164"/>
      <c r="E34" s="164"/>
      <c r="F34" s="164"/>
    </row>
    <row r="35" spans="1:6">
      <c r="A35" s="162"/>
      <c r="B35" s="163"/>
      <c r="C35" s="163"/>
      <c r="D35" s="164"/>
      <c r="E35" s="164"/>
      <c r="F35" s="164"/>
    </row>
    <row r="36" spans="1:6">
      <c r="A36" s="162"/>
      <c r="B36" s="163"/>
      <c r="C36" s="163"/>
      <c r="D36" s="164"/>
      <c r="E36" s="164"/>
      <c r="F36" s="164"/>
    </row>
    <row r="37" spans="1:6">
      <c r="A37" s="162"/>
      <c r="B37" s="163"/>
      <c r="C37" s="163"/>
      <c r="D37" s="164"/>
      <c r="E37" s="164"/>
      <c r="F37" s="164"/>
    </row>
    <row r="38" spans="1:6">
      <c r="A38" s="162"/>
      <c r="B38" s="163"/>
      <c r="C38" s="163"/>
      <c r="D38" s="164"/>
      <c r="E38" s="164"/>
      <c r="F38" s="164"/>
    </row>
    <row r="39" spans="1:6">
      <c r="A39" s="162"/>
      <c r="B39" s="163"/>
      <c r="C39" s="163"/>
      <c r="D39" s="164"/>
      <c r="E39" s="164"/>
      <c r="F39" s="164"/>
    </row>
    <row r="40" spans="1:6">
      <c r="A40" s="162"/>
      <c r="B40" s="163"/>
      <c r="C40" s="163"/>
      <c r="D40" s="164"/>
      <c r="E40" s="164"/>
      <c r="F40" s="164"/>
    </row>
    <row r="41" spans="1:6">
      <c r="A41" s="162"/>
      <c r="B41" s="163"/>
      <c r="C41" s="163"/>
      <c r="D41" s="164"/>
      <c r="E41" s="164"/>
      <c r="F41" s="164"/>
    </row>
    <row r="42" spans="1:6">
      <c r="A42" s="162"/>
      <c r="B42" s="163"/>
      <c r="C42" s="163"/>
      <c r="D42" s="164"/>
      <c r="E42" s="164"/>
      <c r="F42" s="164"/>
    </row>
    <row r="43" spans="1:6">
      <c r="A43" s="162"/>
      <c r="B43" s="163"/>
      <c r="C43" s="163"/>
      <c r="D43" s="164"/>
      <c r="E43" s="164"/>
      <c r="F43" s="164"/>
    </row>
    <row r="44" spans="1:6">
      <c r="A44" s="162"/>
      <c r="B44" s="163"/>
      <c r="C44" s="163"/>
      <c r="D44" s="164"/>
      <c r="E44" s="164"/>
      <c r="F44" s="164"/>
    </row>
    <row r="45" spans="1:6">
      <c r="A45" s="162"/>
      <c r="B45" s="163"/>
      <c r="C45" s="163"/>
      <c r="D45" s="164"/>
      <c r="E45" s="164"/>
      <c r="F45" s="164"/>
    </row>
    <row r="46" spans="1:6">
      <c r="A46" s="162"/>
      <c r="B46" s="163"/>
      <c r="C46" s="163"/>
      <c r="D46" s="164"/>
      <c r="E46" s="164"/>
      <c r="F46" s="164"/>
    </row>
    <row r="47" spans="1:6">
      <c r="A47" s="162"/>
      <c r="B47" s="163"/>
      <c r="C47" s="163"/>
      <c r="D47" s="164"/>
      <c r="E47" s="164"/>
      <c r="F47" s="164"/>
    </row>
    <row r="48" spans="1:6">
      <c r="A48" s="162"/>
      <c r="B48" s="163"/>
      <c r="C48" s="163"/>
      <c r="D48" s="164"/>
      <c r="E48" s="164"/>
      <c r="F48" s="164"/>
    </row>
    <row r="49" spans="1:6">
      <c r="A49" s="162"/>
      <c r="B49" s="163"/>
      <c r="C49" s="163"/>
      <c r="D49" s="164"/>
      <c r="E49" s="164"/>
      <c r="F49" s="164"/>
    </row>
    <row r="50" spans="1:6">
      <c r="A50" s="162"/>
      <c r="B50" s="163"/>
      <c r="C50" s="163"/>
      <c r="D50" s="164"/>
      <c r="E50" s="164"/>
      <c r="F50" s="164"/>
    </row>
    <row r="51" spans="1:6">
      <c r="A51" s="162"/>
      <c r="B51" s="163"/>
      <c r="C51" s="163"/>
      <c r="D51" s="164"/>
      <c r="E51" s="164"/>
      <c r="F51" s="164"/>
    </row>
    <row r="52" spans="1:6">
      <c r="A52" s="162"/>
      <c r="B52" s="163"/>
      <c r="C52" s="163"/>
      <c r="D52" s="164"/>
      <c r="E52" s="164"/>
      <c r="F52" s="164"/>
    </row>
    <row r="53" spans="1:6">
      <c r="A53" s="162"/>
      <c r="B53" s="163"/>
      <c r="C53" s="163"/>
      <c r="D53" s="164"/>
      <c r="E53" s="164"/>
      <c r="F53" s="164"/>
    </row>
    <row r="54" spans="1:6">
      <c r="A54" s="162"/>
      <c r="D54" s="164"/>
      <c r="E54" s="164"/>
      <c r="F54" s="164"/>
    </row>
    <row r="55" spans="1:6">
      <c r="A55" s="162"/>
    </row>
    <row r="56" spans="1:6">
      <c r="A56" s="162"/>
    </row>
    <row r="57" spans="1:6">
      <c r="A57" s="162"/>
    </row>
    <row r="58" spans="1:6">
      <c r="A58" s="162"/>
    </row>
    <row r="59" spans="1:6">
      <c r="A59" s="162"/>
    </row>
    <row r="60" spans="1:6">
      <c r="A60" s="162"/>
    </row>
    <row r="61" spans="1:6">
      <c r="A61" s="162"/>
    </row>
    <row r="62" spans="1:6">
      <c r="A62" s="162"/>
    </row>
    <row r="63" spans="1:6">
      <c r="A63" s="162"/>
    </row>
    <row r="64" spans="1:6">
      <c r="A64" s="162"/>
    </row>
    <row r="65" spans="1:1">
      <c r="A65" s="162"/>
    </row>
    <row r="66" spans="1:1">
      <c r="A66" s="162"/>
    </row>
    <row r="67" spans="1:1">
      <c r="A67" s="162"/>
    </row>
    <row r="68" spans="1:1">
      <c r="A68" s="162"/>
    </row>
    <row r="69" spans="1:1">
      <c r="A69" s="162"/>
    </row>
    <row r="70" spans="1:1">
      <c r="A70" s="162"/>
    </row>
    <row r="71" spans="1:1">
      <c r="A71" s="162"/>
    </row>
    <row r="72" spans="1:1">
      <c r="A72" s="162"/>
    </row>
    <row r="73" spans="1:1">
      <c r="A73" s="162"/>
    </row>
    <row r="74" spans="1:1">
      <c r="A74" s="162"/>
    </row>
    <row r="75" spans="1:1">
      <c r="A75" s="162"/>
    </row>
    <row r="76" spans="1:1">
      <c r="A76" s="162"/>
    </row>
    <row r="77" spans="1:1">
      <c r="A77" s="162"/>
    </row>
    <row r="78" spans="1:1">
      <c r="A78" s="162"/>
    </row>
    <row r="79" spans="1:1">
      <c r="A79" s="162"/>
    </row>
    <row r="80" spans="1:1">
      <c r="A80" s="162"/>
    </row>
    <row r="81" spans="1:1">
      <c r="A81" s="162"/>
    </row>
    <row r="82" spans="1:1">
      <c r="A82" s="162"/>
    </row>
    <row r="83" spans="1:1">
      <c r="A83" s="162"/>
    </row>
    <row r="84" spans="1:1">
      <c r="A84" s="162"/>
    </row>
    <row r="85" spans="1:1">
      <c r="A85" s="162"/>
    </row>
    <row r="86" spans="1:1">
      <c r="A86" s="162"/>
    </row>
    <row r="87" spans="1:1">
      <c r="A87" s="162"/>
    </row>
    <row r="88" spans="1:1">
      <c r="A88" s="162"/>
    </row>
    <row r="89" spans="1:1">
      <c r="A89" s="162"/>
    </row>
    <row r="90" spans="1:1">
      <c r="A90" s="162"/>
    </row>
    <row r="91" spans="1:1">
      <c r="A91" s="162"/>
    </row>
    <row r="92" spans="1:1">
      <c r="A92" s="162"/>
    </row>
    <row r="93" spans="1:1">
      <c r="A93" s="162"/>
    </row>
    <row r="94" spans="1:1">
      <c r="A94" s="162"/>
    </row>
    <row r="95" spans="1:1">
      <c r="A95" s="162"/>
    </row>
    <row r="96" spans="1:1">
      <c r="A96" s="162"/>
    </row>
    <row r="97" spans="1:1">
      <c r="A97" s="162"/>
    </row>
    <row r="98" spans="1:1">
      <c r="A98" s="162"/>
    </row>
    <row r="99" spans="1:1">
      <c r="A99" s="162"/>
    </row>
    <row r="100" spans="1:1">
      <c r="A100" s="162"/>
    </row>
    <row r="101" spans="1:1">
      <c r="A101" s="162"/>
    </row>
    <row r="102" spans="1:1">
      <c r="A102" s="162"/>
    </row>
    <row r="103" spans="1:1">
      <c r="A103" s="162"/>
    </row>
    <row r="104" spans="1:1">
      <c r="A104" s="162"/>
    </row>
    <row r="105" spans="1:1">
      <c r="A105" s="162"/>
    </row>
    <row r="106" spans="1:1">
      <c r="A106" s="162"/>
    </row>
    <row r="107" spans="1:1">
      <c r="A107" s="162"/>
    </row>
    <row r="108" spans="1:1">
      <c r="A108" s="162"/>
    </row>
    <row r="109" spans="1:1">
      <c r="A109" s="162"/>
    </row>
    <row r="110" spans="1:1">
      <c r="A110" s="162"/>
    </row>
    <row r="111" spans="1:1">
      <c r="A111" s="162"/>
    </row>
    <row r="112" spans="1:1">
      <c r="A112" s="162"/>
    </row>
    <row r="113" spans="1:1">
      <c r="A113" s="162"/>
    </row>
    <row r="114" spans="1:1">
      <c r="A114" s="162"/>
    </row>
    <row r="115" spans="1:1">
      <c r="A115" s="162"/>
    </row>
    <row r="116" spans="1:1">
      <c r="A116" s="162"/>
    </row>
    <row r="117" spans="1:1">
      <c r="A117" s="162"/>
    </row>
    <row r="118" spans="1:1">
      <c r="A118" s="162"/>
    </row>
    <row r="119" spans="1:1">
      <c r="A119" s="162"/>
    </row>
    <row r="120" spans="1:1">
      <c r="A120" s="162"/>
    </row>
    <row r="121" spans="1:1">
      <c r="A121" s="162"/>
    </row>
    <row r="122" spans="1:1">
      <c r="A122" s="162"/>
    </row>
    <row r="123" spans="1:1">
      <c r="A123" s="162"/>
    </row>
    <row r="124" spans="1:1">
      <c r="A124" s="162"/>
    </row>
    <row r="125" spans="1:1">
      <c r="A125" s="162"/>
    </row>
    <row r="126" spans="1:1">
      <c r="A126" s="162"/>
    </row>
    <row r="127" spans="1:1">
      <c r="A127" s="162"/>
    </row>
    <row r="128" spans="1:1">
      <c r="A128" s="162"/>
    </row>
    <row r="129" spans="1:1">
      <c r="A129" s="162"/>
    </row>
    <row r="130" spans="1:1">
      <c r="A130" s="162"/>
    </row>
    <row r="131" spans="1:1">
      <c r="A131" s="162"/>
    </row>
    <row r="132" spans="1:1">
      <c r="A132" s="162"/>
    </row>
    <row r="133" spans="1:1">
      <c r="A133" s="162"/>
    </row>
    <row r="134" spans="1:1">
      <c r="A134" s="162"/>
    </row>
    <row r="135" spans="1:1">
      <c r="A135" s="162"/>
    </row>
    <row r="136" spans="1:1">
      <c r="A136" s="162"/>
    </row>
    <row r="137" spans="1:1">
      <c r="A137" s="162"/>
    </row>
    <row r="138" spans="1:1">
      <c r="A138" s="162"/>
    </row>
    <row r="139" spans="1:1">
      <c r="A139" s="162"/>
    </row>
    <row r="140" spans="1:1">
      <c r="A140" s="162"/>
    </row>
    <row r="141" spans="1:1">
      <c r="A141" s="162"/>
    </row>
    <row r="142" spans="1:1">
      <c r="A142" s="162"/>
    </row>
    <row r="143" spans="1:1">
      <c r="A143" s="162"/>
    </row>
    <row r="144" spans="1:1">
      <c r="A144" s="162"/>
    </row>
    <row r="145" spans="1:1">
      <c r="A145" s="162"/>
    </row>
    <row r="146" spans="1:1">
      <c r="A146" s="162"/>
    </row>
    <row r="147" spans="1:1">
      <c r="A147" s="162"/>
    </row>
    <row r="148" spans="1:1">
      <c r="A148" s="162"/>
    </row>
    <row r="149" spans="1:1">
      <c r="A149" s="162"/>
    </row>
    <row r="150" spans="1:1">
      <c r="A150" s="162"/>
    </row>
    <row r="151" spans="1:1">
      <c r="A151" s="162"/>
    </row>
    <row r="152" spans="1:1">
      <c r="A152" s="162"/>
    </row>
    <row r="153" spans="1:1">
      <c r="A153" s="162"/>
    </row>
    <row r="154" spans="1:1">
      <c r="A154" s="162"/>
    </row>
    <row r="155" spans="1:1">
      <c r="A155" s="162"/>
    </row>
    <row r="156" spans="1:1">
      <c r="A156" s="162"/>
    </row>
    <row r="157" spans="1:1">
      <c r="A157" s="162"/>
    </row>
    <row r="158" spans="1:1">
      <c r="A158" s="162"/>
    </row>
    <row r="159" spans="1:1">
      <c r="A159" s="162"/>
    </row>
    <row r="160" spans="1:1">
      <c r="A160" s="162"/>
    </row>
    <row r="161" spans="1:1">
      <c r="A161" s="162"/>
    </row>
    <row r="162" spans="1:1">
      <c r="A162" s="162"/>
    </row>
    <row r="163" spans="1:1">
      <c r="A163" s="162"/>
    </row>
    <row r="164" spans="1:1">
      <c r="A164" s="162"/>
    </row>
    <row r="165" spans="1:1">
      <c r="A165" s="162"/>
    </row>
    <row r="166" spans="1:1">
      <c r="A166" s="162"/>
    </row>
    <row r="167" spans="1:1">
      <c r="A167" s="162"/>
    </row>
    <row r="168" spans="1:1">
      <c r="A168" s="162"/>
    </row>
    <row r="169" spans="1:1">
      <c r="A169" s="162"/>
    </row>
    <row r="170" spans="1:1">
      <c r="A170" s="162"/>
    </row>
    <row r="171" spans="1:1">
      <c r="A171" s="162"/>
    </row>
    <row r="172" spans="1:1">
      <c r="A172" s="162"/>
    </row>
    <row r="173" spans="1:1">
      <c r="A173" s="162"/>
    </row>
    <row r="174" spans="1:1">
      <c r="A174" s="162"/>
    </row>
    <row r="175" spans="1:1">
      <c r="A175" s="162"/>
    </row>
    <row r="176" spans="1:1">
      <c r="A176" s="162"/>
    </row>
    <row r="177" spans="1:1">
      <c r="A177" s="162"/>
    </row>
    <row r="178" spans="1:1">
      <c r="A178" s="162"/>
    </row>
    <row r="179" spans="1:1">
      <c r="A179" s="162"/>
    </row>
    <row r="180" spans="1:1">
      <c r="A180" s="162"/>
    </row>
    <row r="181" spans="1:1">
      <c r="A181" s="162"/>
    </row>
    <row r="182" spans="1:1">
      <c r="A182" s="162"/>
    </row>
    <row r="183" spans="1:1">
      <c r="A183" s="162"/>
    </row>
    <row r="184" spans="1:1">
      <c r="A184" s="162"/>
    </row>
    <row r="185" spans="1:1">
      <c r="A185" s="162"/>
    </row>
    <row r="186" spans="1:1">
      <c r="A186" s="162"/>
    </row>
    <row r="187" spans="1:1">
      <c r="A187" s="162"/>
    </row>
    <row r="188" spans="1:1">
      <c r="A188" s="162"/>
    </row>
    <row r="189" spans="1:1">
      <c r="A189" s="162"/>
    </row>
    <row r="190" spans="1:1">
      <c r="A190" s="162"/>
    </row>
    <row r="191" spans="1:1">
      <c r="A191" s="162"/>
    </row>
    <row r="192" spans="1:1">
      <c r="A192" s="162"/>
    </row>
    <row r="193" spans="1:1">
      <c r="A193" s="162"/>
    </row>
    <row r="194" spans="1:1">
      <c r="A194" s="162"/>
    </row>
    <row r="195" spans="1:1">
      <c r="A195" s="162"/>
    </row>
    <row r="196" spans="1:1">
      <c r="A196" s="162"/>
    </row>
    <row r="197" spans="1:1">
      <c r="A197" s="162"/>
    </row>
    <row r="198" spans="1:1">
      <c r="A198" s="162"/>
    </row>
    <row r="199" spans="1:1">
      <c r="A199" s="162"/>
    </row>
    <row r="200" spans="1:1">
      <c r="A200" s="165"/>
    </row>
    <row r="201" spans="1:1">
      <c r="A201" s="165"/>
    </row>
    <row r="202" spans="1:1">
      <c r="A202" s="165"/>
    </row>
    <row r="203" spans="1:1">
      <c r="A203" s="165"/>
    </row>
    <row r="204" spans="1:1">
      <c r="A204" s="165"/>
    </row>
    <row r="205" spans="1:1">
      <c r="A205" s="162"/>
    </row>
    <row r="206" spans="1:1">
      <c r="A206" s="162"/>
    </row>
    <row r="207" spans="1:1">
      <c r="A207" s="162"/>
    </row>
    <row r="208" spans="1:1">
      <c r="A208" s="162"/>
    </row>
    <row r="209" spans="1:1">
      <c r="A209" s="162"/>
    </row>
    <row r="210" spans="1:1">
      <c r="A210" s="162"/>
    </row>
    <row r="211" spans="1:1">
      <c r="A211" s="162"/>
    </row>
    <row r="212" spans="1:1">
      <c r="A212" s="162"/>
    </row>
    <row r="213" spans="1:1">
      <c r="A213" s="162"/>
    </row>
    <row r="214" spans="1:1">
      <c r="A214" s="162"/>
    </row>
    <row r="215" spans="1:1">
      <c r="A215" s="162"/>
    </row>
    <row r="216" spans="1:1">
      <c r="A216" s="162"/>
    </row>
    <row r="217" spans="1:1">
      <c r="A217" s="162"/>
    </row>
    <row r="218" spans="1:1">
      <c r="A218" s="162"/>
    </row>
    <row r="219" spans="1:1">
      <c r="A219" s="162"/>
    </row>
    <row r="220" spans="1:1">
      <c r="A220" s="162"/>
    </row>
    <row r="221" spans="1:1">
      <c r="A221" s="162"/>
    </row>
    <row r="222" spans="1:1">
      <c r="A222" s="162"/>
    </row>
    <row r="223" spans="1:1">
      <c r="A223" s="162"/>
    </row>
    <row r="224" spans="1:1">
      <c r="A224" s="162"/>
    </row>
    <row r="225" spans="1:1">
      <c r="A225" s="162"/>
    </row>
    <row r="226" spans="1:1">
      <c r="A226" s="162"/>
    </row>
    <row r="227" spans="1:1">
      <c r="A227" s="162"/>
    </row>
    <row r="228" spans="1:1">
      <c r="A228" s="162"/>
    </row>
    <row r="229" spans="1:1">
      <c r="A229" s="162"/>
    </row>
    <row r="230" spans="1:1">
      <c r="A230" s="162"/>
    </row>
    <row r="231" spans="1:1">
      <c r="A231" s="162"/>
    </row>
    <row r="232" spans="1:1">
      <c r="A232" s="162"/>
    </row>
    <row r="233" spans="1:1">
      <c r="A233" s="162"/>
    </row>
    <row r="234" spans="1:1">
      <c r="A234" s="162"/>
    </row>
    <row r="235" spans="1:1">
      <c r="A235" s="162"/>
    </row>
    <row r="236" spans="1:1">
      <c r="A236" s="162"/>
    </row>
    <row r="237" spans="1:1">
      <c r="A237" s="162"/>
    </row>
    <row r="238" spans="1:1">
      <c r="A238" s="162"/>
    </row>
    <row r="239" spans="1:1">
      <c r="A239" s="162"/>
    </row>
    <row r="240" spans="1:1">
      <c r="A240" s="162"/>
    </row>
    <row r="241" spans="1:1">
      <c r="A241" s="162"/>
    </row>
    <row r="242" spans="1:1">
      <c r="A242" s="162"/>
    </row>
    <row r="243" spans="1:1">
      <c r="A243" s="162"/>
    </row>
    <row r="244" spans="1:1">
      <c r="A244" s="162"/>
    </row>
    <row r="245" spans="1:1">
      <c r="A245" s="162"/>
    </row>
    <row r="246" spans="1:1">
      <c r="A246" s="162"/>
    </row>
    <row r="247" spans="1:1">
      <c r="A247" s="162"/>
    </row>
    <row r="248" spans="1:1">
      <c r="A248" s="162"/>
    </row>
    <row r="249" spans="1:1">
      <c r="A249" s="162"/>
    </row>
    <row r="250" spans="1:1">
      <c r="A250" s="162"/>
    </row>
    <row r="251" spans="1:1">
      <c r="A251" s="162"/>
    </row>
    <row r="252" spans="1:1">
      <c r="A252" s="162"/>
    </row>
    <row r="253" spans="1:1">
      <c r="A253" s="162"/>
    </row>
    <row r="254" spans="1:1">
      <c r="A254" s="162"/>
    </row>
    <row r="255" spans="1:1">
      <c r="A255" s="162"/>
    </row>
    <row r="256" spans="1:1">
      <c r="A256" s="162"/>
    </row>
    <row r="257" spans="1:1">
      <c r="A257" s="162"/>
    </row>
    <row r="258" spans="1:1">
      <c r="A258" s="162"/>
    </row>
    <row r="259" spans="1:1">
      <c r="A259" s="162"/>
    </row>
    <row r="260" spans="1:1">
      <c r="A260" s="162"/>
    </row>
    <row r="261" spans="1:1">
      <c r="A261" s="162"/>
    </row>
    <row r="262" spans="1:1">
      <c r="A262" s="162"/>
    </row>
    <row r="263" spans="1:1">
      <c r="A263" s="162"/>
    </row>
    <row r="264" spans="1:1">
      <c r="A264" s="162"/>
    </row>
    <row r="265" spans="1:1">
      <c r="A265" s="162"/>
    </row>
    <row r="266" spans="1:1">
      <c r="A266" s="162"/>
    </row>
    <row r="267" spans="1:1">
      <c r="A267" s="162"/>
    </row>
    <row r="268" spans="1:1">
      <c r="A268" s="162"/>
    </row>
    <row r="269" spans="1:1">
      <c r="A269" s="16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1EFE-58CB-4843-90D6-2A927CED4B5A}">
  <dimension ref="A1:L34"/>
  <sheetViews>
    <sheetView zoomScaleNormal="100" workbookViewId="0"/>
  </sheetViews>
  <sheetFormatPr defaultColWidth="9.109375" defaultRowHeight="13.2"/>
  <cols>
    <col min="1" max="1" width="12.6640625" style="113" bestFit="1" customWidth="1"/>
    <col min="2" max="2" width="12.6640625" style="113" customWidth="1"/>
    <col min="3" max="3" width="12.33203125" style="113" customWidth="1"/>
    <col min="4" max="4" width="10.44140625" style="113" customWidth="1"/>
    <col min="5" max="5" width="10.6640625" style="113" customWidth="1"/>
    <col min="6" max="16384" width="9.109375" style="113"/>
  </cols>
  <sheetData>
    <row r="1" spans="1:12" ht="39.6">
      <c r="A1" s="120" t="s">
        <v>150</v>
      </c>
      <c r="B1" s="120" t="s">
        <v>215</v>
      </c>
      <c r="C1" s="120" t="s">
        <v>168</v>
      </c>
      <c r="D1" s="120" t="s">
        <v>169</v>
      </c>
      <c r="E1" s="120" t="s">
        <v>170</v>
      </c>
      <c r="F1" s="120" t="s">
        <v>171</v>
      </c>
      <c r="G1" s="120" t="s">
        <v>173</v>
      </c>
      <c r="H1" s="120" t="s">
        <v>172</v>
      </c>
      <c r="I1" s="120" t="s">
        <v>216</v>
      </c>
      <c r="J1" s="167"/>
    </row>
    <row r="2" spans="1:12">
      <c r="A2" s="127" t="s">
        <v>157</v>
      </c>
      <c r="B2" s="157">
        <v>0.63</v>
      </c>
      <c r="C2" s="157">
        <v>6.7169999999999996</v>
      </c>
      <c r="D2" s="158">
        <v>16.399999999999999</v>
      </c>
      <c r="E2" s="158">
        <v>22.75</v>
      </c>
      <c r="F2" s="158">
        <v>5.9</v>
      </c>
      <c r="G2" s="158">
        <v>2.4380000000000002</v>
      </c>
      <c r="H2" s="158">
        <v>0.9</v>
      </c>
      <c r="I2" s="159">
        <v>6.524</v>
      </c>
      <c r="J2" s="159"/>
      <c r="K2" s="169"/>
      <c r="L2" s="159"/>
    </row>
    <row r="3" spans="1:12">
      <c r="A3" s="127" t="s">
        <v>158</v>
      </c>
      <c r="B3" s="157">
        <v>0.56000000000000005</v>
      </c>
      <c r="C3" s="157">
        <v>6.9790000000000001</v>
      </c>
      <c r="D3" s="158">
        <v>18</v>
      </c>
      <c r="E3" s="158">
        <v>23.95</v>
      </c>
      <c r="F3" s="158">
        <v>6</v>
      </c>
      <c r="G3" s="158">
        <v>2.4</v>
      </c>
      <c r="H3" s="158">
        <v>1.05</v>
      </c>
      <c r="I3" s="159">
        <v>7.5969999999999995</v>
      </c>
      <c r="J3" s="159"/>
      <c r="K3" s="169"/>
      <c r="L3" s="159"/>
    </row>
    <row r="4" spans="1:12">
      <c r="A4" s="127" t="s">
        <v>159</v>
      </c>
      <c r="B4" s="157">
        <v>0.68</v>
      </c>
      <c r="C4" s="157">
        <v>7.36</v>
      </c>
      <c r="D4" s="158">
        <v>18</v>
      </c>
      <c r="E4" s="158">
        <v>25.35</v>
      </c>
      <c r="F4" s="158">
        <v>4.2</v>
      </c>
      <c r="G4" s="158">
        <v>2.4729999999999999</v>
      </c>
      <c r="H4" s="158">
        <v>1.18</v>
      </c>
      <c r="I4" s="159">
        <v>8.229000000000001</v>
      </c>
      <c r="J4" s="159"/>
      <c r="K4" s="169"/>
      <c r="L4" s="159"/>
    </row>
    <row r="5" spans="1:12">
      <c r="A5" s="127" t="s">
        <v>160</v>
      </c>
      <c r="B5" s="157">
        <v>0.83399999999999996</v>
      </c>
      <c r="C5" s="157">
        <v>8.3149999999999995</v>
      </c>
      <c r="D5" s="158">
        <v>17.5</v>
      </c>
      <c r="E5" s="158">
        <v>24.3</v>
      </c>
      <c r="F5" s="158">
        <v>5</v>
      </c>
      <c r="G5" s="158">
        <v>2.3519999999999999</v>
      </c>
      <c r="H5" s="158">
        <v>0.99</v>
      </c>
      <c r="I5" s="159">
        <v>7.7279999999999998</v>
      </c>
      <c r="J5" s="159"/>
      <c r="K5" s="169"/>
      <c r="L5" s="159"/>
    </row>
    <row r="6" spans="1:12">
      <c r="A6" s="127" t="s">
        <v>161</v>
      </c>
      <c r="B6" s="157">
        <v>0.81499999999999995</v>
      </c>
      <c r="C6" s="157">
        <v>9.1910000000000007</v>
      </c>
      <c r="D6" s="158">
        <v>16.8</v>
      </c>
      <c r="E6" s="158">
        <v>22.3</v>
      </c>
      <c r="F6" s="158">
        <v>5.7</v>
      </c>
      <c r="G6" s="158">
        <v>2.4</v>
      </c>
      <c r="H6" s="158">
        <v>0.9</v>
      </c>
      <c r="I6" s="159">
        <v>9.7190000000000012</v>
      </c>
      <c r="J6" s="159"/>
      <c r="K6" s="169"/>
      <c r="L6" s="159"/>
    </row>
    <row r="7" spans="1:12">
      <c r="A7" s="121" t="s">
        <v>162</v>
      </c>
      <c r="B7" s="157">
        <v>0.61499999999999999</v>
      </c>
      <c r="C7" s="157">
        <v>9.2690000000000001</v>
      </c>
      <c r="D7" s="158">
        <v>17.3</v>
      </c>
      <c r="E7" s="158">
        <v>22.05</v>
      </c>
      <c r="F7" s="158">
        <v>6.2</v>
      </c>
      <c r="G7" s="158">
        <v>2.3149999999999999</v>
      </c>
      <c r="H7" s="158">
        <v>1.2</v>
      </c>
      <c r="I7" s="159">
        <v>9.8810000000000002</v>
      </c>
      <c r="J7" s="159"/>
      <c r="K7" s="169"/>
      <c r="L7" s="159"/>
    </row>
    <row r="8" spans="1:12">
      <c r="A8" s="121" t="s">
        <v>163</v>
      </c>
      <c r="B8" s="157">
        <v>0.83499999999999996</v>
      </c>
      <c r="C8" s="157">
        <v>9.2949999999999999</v>
      </c>
      <c r="D8" s="158">
        <v>16.475000000000001</v>
      </c>
      <c r="E8" s="158">
        <v>21.45</v>
      </c>
      <c r="F8" s="158">
        <v>6.9</v>
      </c>
      <c r="G8" s="158">
        <v>2.3969999999999998</v>
      </c>
      <c r="H8" s="158">
        <v>1.4</v>
      </c>
      <c r="I8" s="159">
        <v>9.8299999999999983</v>
      </c>
      <c r="J8" s="159"/>
      <c r="K8" s="169"/>
      <c r="L8" s="159"/>
    </row>
    <row r="9" spans="1:12">
      <c r="A9" s="121" t="s">
        <v>164</v>
      </c>
      <c r="B9" s="157">
        <v>1.05</v>
      </c>
      <c r="C9" s="157">
        <v>10.129</v>
      </c>
      <c r="D9" s="158">
        <v>15.484999999999999</v>
      </c>
      <c r="E9" s="158">
        <v>21.1</v>
      </c>
      <c r="F9" s="158">
        <v>7</v>
      </c>
      <c r="G9" s="158">
        <v>2.2690000000000001</v>
      </c>
      <c r="H9" s="158">
        <v>1.6</v>
      </c>
      <c r="I9" s="159">
        <v>10.325999999999999</v>
      </c>
      <c r="J9" s="159"/>
      <c r="K9" s="169"/>
      <c r="L9" s="159"/>
    </row>
    <row r="10" spans="1:12">
      <c r="A10" s="121" t="s">
        <v>165</v>
      </c>
      <c r="B10" s="157">
        <v>1.1000000000000001</v>
      </c>
      <c r="C10" s="157">
        <v>10.425000000000001</v>
      </c>
      <c r="D10" s="158">
        <v>16</v>
      </c>
      <c r="E10" s="158">
        <v>22.3</v>
      </c>
      <c r="F10" s="158">
        <v>7.5</v>
      </c>
      <c r="G10" s="158">
        <v>2.355</v>
      </c>
      <c r="H10" s="158">
        <v>1.85</v>
      </c>
      <c r="I10" s="159">
        <v>10.168000000000001</v>
      </c>
      <c r="J10" s="159"/>
      <c r="K10" s="169"/>
      <c r="L10" s="159"/>
    </row>
    <row r="11" spans="1:12">
      <c r="A11" s="121" t="s">
        <v>166</v>
      </c>
      <c r="B11" s="157">
        <v>1.175</v>
      </c>
      <c r="C11" s="157">
        <v>8.5549999999999997</v>
      </c>
      <c r="D11" s="158">
        <v>16.399999999999999</v>
      </c>
      <c r="E11" s="158">
        <v>21.8</v>
      </c>
      <c r="F11" s="158">
        <v>9.65</v>
      </c>
      <c r="G11" s="158">
        <v>2.1190000000000002</v>
      </c>
      <c r="H11" s="158">
        <v>2.2999999999999998</v>
      </c>
      <c r="I11" s="159">
        <v>9.6079999999999988</v>
      </c>
      <c r="J11" s="159"/>
      <c r="K11" s="169"/>
      <c r="L11" s="159"/>
    </row>
    <row r="12" spans="1:12">
      <c r="A12" s="118" t="s">
        <v>152</v>
      </c>
      <c r="B12" s="157">
        <v>0.68</v>
      </c>
      <c r="C12" s="157">
        <v>10</v>
      </c>
      <c r="D12" s="158">
        <v>17</v>
      </c>
      <c r="E12" s="158">
        <v>24.2</v>
      </c>
      <c r="F12" s="158">
        <v>10.199999999999999</v>
      </c>
      <c r="G12" s="158">
        <v>2.4</v>
      </c>
      <c r="H12" s="158">
        <v>3.15</v>
      </c>
      <c r="I12" s="159">
        <v>11.052</v>
      </c>
      <c r="L12" s="159"/>
    </row>
    <row r="13" spans="1:12">
      <c r="A13" s="118" t="s">
        <v>167</v>
      </c>
      <c r="B13" s="157">
        <v>1.4</v>
      </c>
      <c r="C13" s="157">
        <v>10</v>
      </c>
      <c r="D13" s="158">
        <v>17.2</v>
      </c>
      <c r="E13" s="158">
        <v>24.3</v>
      </c>
      <c r="F13" s="158">
        <v>10.199999999999999</v>
      </c>
      <c r="G13" s="158">
        <v>2.4420000000000002</v>
      </c>
      <c r="H13" s="158">
        <v>3.25</v>
      </c>
      <c r="I13" s="159">
        <v>11.054</v>
      </c>
      <c r="J13" s="159"/>
      <c r="L13" s="159"/>
    </row>
    <row r="14" spans="1:12">
      <c r="C14" s="129"/>
      <c r="D14" s="128"/>
      <c r="E14" s="115"/>
    </row>
    <row r="15" spans="1:12">
      <c r="C15" s="157"/>
      <c r="D15" s="157"/>
      <c r="E15" s="157"/>
      <c r="F15" s="157"/>
      <c r="G15" s="157"/>
      <c r="H15" s="157"/>
      <c r="I15" s="157"/>
      <c r="J15" s="168"/>
    </row>
    <row r="16" spans="1:12">
      <c r="C16" s="157"/>
      <c r="D16" s="157"/>
      <c r="E16" s="157"/>
      <c r="F16" s="157"/>
      <c r="G16" s="157"/>
      <c r="H16" s="157"/>
      <c r="I16" s="157"/>
      <c r="J16" s="168"/>
    </row>
    <row r="17" spans="3:10">
      <c r="C17" s="157"/>
      <c r="D17" s="157"/>
      <c r="E17" s="157"/>
      <c r="F17" s="157"/>
      <c r="G17" s="157"/>
      <c r="H17" s="157"/>
      <c r="I17" s="157"/>
      <c r="J17" s="168"/>
    </row>
    <row r="18" spans="3:10">
      <c r="C18" s="157"/>
      <c r="D18" s="157"/>
      <c r="E18" s="157"/>
      <c r="F18" s="157"/>
      <c r="G18" s="157"/>
      <c r="H18" s="157"/>
      <c r="I18" s="157"/>
      <c r="J18" s="168"/>
    </row>
    <row r="19" spans="3:10">
      <c r="C19" s="157"/>
      <c r="D19" s="157"/>
      <c r="E19" s="157"/>
      <c r="F19" s="157"/>
      <c r="G19" s="157"/>
      <c r="H19" s="157"/>
      <c r="I19" s="157"/>
      <c r="J19" s="168"/>
    </row>
    <row r="20" spans="3:10">
      <c r="C20" s="157"/>
      <c r="D20" s="157"/>
      <c r="E20" s="157"/>
      <c r="F20" s="157"/>
      <c r="G20" s="157"/>
      <c r="H20" s="157"/>
      <c r="I20" s="157"/>
      <c r="J20" s="168"/>
    </row>
    <row r="21" spans="3:10">
      <c r="C21" s="157"/>
      <c r="D21" s="157"/>
      <c r="E21" s="157"/>
      <c r="F21" s="157"/>
      <c r="G21" s="157"/>
      <c r="H21" s="157"/>
      <c r="I21" s="157"/>
      <c r="J21" s="168"/>
    </row>
    <row r="22" spans="3:10">
      <c r="C22" s="157"/>
      <c r="D22" s="157"/>
      <c r="E22" s="157"/>
      <c r="F22" s="157"/>
      <c r="G22" s="157"/>
      <c r="H22" s="157"/>
      <c r="I22" s="157"/>
      <c r="J22" s="168"/>
    </row>
    <row r="23" spans="3:10">
      <c r="C23" s="157"/>
      <c r="D23" s="157"/>
      <c r="E23" s="157"/>
      <c r="F23" s="157"/>
      <c r="G23" s="157"/>
      <c r="H23" s="157"/>
      <c r="I23" s="157"/>
      <c r="J23" s="168"/>
    </row>
    <row r="24" spans="3:10">
      <c r="C24" s="157"/>
      <c r="D24" s="157"/>
      <c r="E24" s="157"/>
      <c r="F24" s="157"/>
      <c r="G24" s="157"/>
      <c r="H24" s="157"/>
      <c r="I24" s="157"/>
      <c r="J24" s="168"/>
    </row>
    <row r="25" spans="3:10">
      <c r="C25" s="157"/>
      <c r="D25" s="157"/>
      <c r="E25" s="157"/>
      <c r="F25" s="157"/>
      <c r="G25" s="157"/>
      <c r="H25" s="157"/>
      <c r="I25" s="157"/>
      <c r="J25" s="168"/>
    </row>
    <row r="26" spans="3:10">
      <c r="C26" s="157"/>
      <c r="D26" s="157"/>
      <c r="E26" s="157"/>
      <c r="F26" s="157"/>
      <c r="G26" s="157"/>
      <c r="H26" s="157"/>
      <c r="I26" s="157"/>
      <c r="J26" s="168"/>
    </row>
    <row r="27" spans="3:10">
      <c r="C27" s="133"/>
      <c r="E27" s="133"/>
    </row>
    <row r="28" spans="3:10">
      <c r="C28" s="133"/>
      <c r="E28" s="133"/>
    </row>
    <row r="29" spans="3:10">
      <c r="C29" s="133"/>
      <c r="E29" s="133"/>
    </row>
    <row r="30" spans="3:10">
      <c r="C30" s="133"/>
      <c r="E30" s="133"/>
    </row>
    <row r="31" spans="3:10">
      <c r="C31" s="133"/>
      <c r="E31" s="133"/>
    </row>
    <row r="32" spans="3:10">
      <c r="C32" s="133"/>
      <c r="E32" s="133"/>
    </row>
    <row r="33" spans="3:3">
      <c r="C33" s="133"/>
    </row>
    <row r="34" spans="3:3">
      <c r="C34" s="13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5E26D-C091-4100-A3B5-031CE103E328}">
  <dimension ref="A1:D50"/>
  <sheetViews>
    <sheetView zoomScaleNormal="100" workbookViewId="0">
      <pane xSplit="1" ySplit="2" topLeftCell="B3" activePane="bottomRight" state="frozen"/>
      <selection activeCell="R22" sqref="R22"/>
      <selection pane="topRight" activeCell="R22" sqref="R22"/>
      <selection pane="bottomLeft" activeCell="R22" sqref="R22"/>
      <selection pane="bottomRight" activeCell="S12" sqref="S12"/>
    </sheetView>
  </sheetViews>
  <sheetFormatPr defaultColWidth="9.109375" defaultRowHeight="13.2"/>
  <cols>
    <col min="1" max="1" width="14.33203125" style="146" customWidth="1"/>
    <col min="2" max="2" width="18.44140625" style="146" customWidth="1"/>
    <col min="3" max="3" width="16.5546875" style="146" customWidth="1"/>
    <col min="4" max="16384" width="9.109375" style="146"/>
  </cols>
  <sheetData>
    <row r="1" spans="1:4">
      <c r="B1" s="130" t="s">
        <v>153</v>
      </c>
      <c r="C1" s="147"/>
    </row>
    <row r="2" spans="1:4" ht="39.6">
      <c r="A2" s="131" t="s">
        <v>151</v>
      </c>
      <c r="B2" s="149" t="s">
        <v>214</v>
      </c>
      <c r="C2" s="149" t="s">
        <v>213</v>
      </c>
    </row>
    <row r="3" spans="1:4">
      <c r="A3" s="148">
        <v>43739</v>
      </c>
      <c r="B3" s="150">
        <v>216.03913043478261</v>
      </c>
      <c r="C3" s="150">
        <v>308.56521739130437</v>
      </c>
      <c r="D3" s="152"/>
    </row>
    <row r="4" spans="1:4">
      <c r="A4" s="148">
        <v>43770</v>
      </c>
      <c r="B4" s="150">
        <v>220.55857142857144</v>
      </c>
      <c r="C4" s="150">
        <v>319.61904761904759</v>
      </c>
      <c r="D4" s="152"/>
    </row>
    <row r="5" spans="1:4">
      <c r="A5" s="148">
        <v>43800</v>
      </c>
      <c r="B5" s="150">
        <v>235.58000000000004</v>
      </c>
      <c r="C5" s="150">
        <v>328.27272727272725</v>
      </c>
      <c r="D5" s="152"/>
    </row>
    <row r="6" spans="1:4">
      <c r="A6" s="148">
        <v>43831</v>
      </c>
      <c r="B6" s="150">
        <v>235.52304347826086</v>
      </c>
      <c r="C6" s="150">
        <v>336.3478260869565</v>
      </c>
      <c r="D6" s="152"/>
    </row>
    <row r="7" spans="1:4">
      <c r="A7" s="148">
        <v>43862</v>
      </c>
      <c r="B7" s="150">
        <v>233.82399999999998</v>
      </c>
      <c r="C7" s="150">
        <v>329.6</v>
      </c>
      <c r="D7" s="152"/>
    </row>
    <row r="8" spans="1:4">
      <c r="A8" s="148">
        <v>43891</v>
      </c>
      <c r="B8" s="150">
        <v>243.41727272727277</v>
      </c>
      <c r="C8" s="150">
        <v>348.45454545454544</v>
      </c>
      <c r="D8" s="152"/>
    </row>
    <row r="9" spans="1:4">
      <c r="A9" s="148">
        <v>43922</v>
      </c>
      <c r="B9" s="150">
        <v>271.69772727272726</v>
      </c>
      <c r="C9" s="150">
        <v>328.27272727272725</v>
      </c>
      <c r="D9" s="152"/>
    </row>
    <row r="10" spans="1:4">
      <c r="A10" s="148">
        <v>43952</v>
      </c>
      <c r="B10" s="150">
        <v>237.25380952380951</v>
      </c>
      <c r="C10" s="150">
        <v>317.90476190476193</v>
      </c>
      <c r="D10" s="152"/>
    </row>
    <row r="11" spans="1:4">
      <c r="A11" s="148">
        <v>43983</v>
      </c>
      <c r="B11" s="150">
        <v>227.50136363636364</v>
      </c>
      <c r="C11" s="150">
        <v>319.09090909090907</v>
      </c>
      <c r="D11" s="152"/>
    </row>
    <row r="12" spans="1:4">
      <c r="A12" s="148">
        <v>44013</v>
      </c>
      <c r="B12" s="150">
        <v>224.62260869565216</v>
      </c>
      <c r="C12" s="150">
        <v>325.60869565217394</v>
      </c>
      <c r="D12" s="152"/>
    </row>
    <row r="13" spans="1:4">
      <c r="A13" s="148">
        <v>44044</v>
      </c>
      <c r="B13" s="150">
        <v>237.22285714285712</v>
      </c>
      <c r="C13" s="150">
        <v>337.14285714285717</v>
      </c>
      <c r="D13" s="152"/>
    </row>
    <row r="14" spans="1:4">
      <c r="A14" s="148">
        <v>44075</v>
      </c>
      <c r="B14" s="150">
        <v>263.42500000000001</v>
      </c>
      <c r="C14" s="150">
        <v>377.04545454545456</v>
      </c>
      <c r="D14" s="152"/>
    </row>
    <row r="15" spans="1:4">
      <c r="A15" s="148">
        <v>44105</v>
      </c>
      <c r="B15" s="151">
        <v>287.28818181818178</v>
      </c>
      <c r="C15" s="151">
        <v>434.40909090909093</v>
      </c>
      <c r="D15" s="152"/>
    </row>
    <row r="16" spans="1:4">
      <c r="A16" s="148">
        <v>44136</v>
      </c>
      <c r="B16" s="151">
        <v>293.57761904761912</v>
      </c>
      <c r="C16" s="151">
        <v>462.52380952380952</v>
      </c>
      <c r="D16" s="152"/>
    </row>
    <row r="17" spans="1:4">
      <c r="A17" s="148">
        <v>44166</v>
      </c>
      <c r="B17" s="152">
        <v>294.21869565217384</v>
      </c>
      <c r="C17" s="152">
        <v>471.13043478260869</v>
      </c>
      <c r="D17" s="152"/>
    </row>
    <row r="18" spans="1:4">
      <c r="A18" s="148">
        <v>44197</v>
      </c>
      <c r="B18" s="152">
        <v>337.16428571428577</v>
      </c>
      <c r="C18" s="152">
        <v>515.95238095238096</v>
      </c>
      <c r="D18" s="152"/>
    </row>
    <row r="19" spans="1:4">
      <c r="A19" s="148">
        <v>44228</v>
      </c>
      <c r="B19" s="151">
        <v>347.61199999999997</v>
      </c>
      <c r="C19" s="151">
        <v>476.4</v>
      </c>
      <c r="D19" s="152"/>
    </row>
    <row r="20" spans="1:4">
      <c r="A20" s="148">
        <v>44256</v>
      </c>
      <c r="B20" s="151">
        <v>332.31260869565216</v>
      </c>
      <c r="C20" s="151">
        <v>432.04347826086956</v>
      </c>
      <c r="D20" s="152"/>
    </row>
    <row r="21" spans="1:4">
      <c r="A21" s="148">
        <v>44287</v>
      </c>
      <c r="B21" s="151">
        <v>326.5886363636364</v>
      </c>
      <c r="C21" s="151">
        <v>433.77272727272725</v>
      </c>
      <c r="D21" s="152"/>
    </row>
    <row r="22" spans="1:4">
      <c r="A22" s="148">
        <v>44317</v>
      </c>
      <c r="B22" s="151">
        <v>328.79761904761898</v>
      </c>
      <c r="C22" s="151">
        <v>438.52380952380952</v>
      </c>
      <c r="D22" s="152"/>
    </row>
    <row r="23" spans="1:4">
      <c r="A23" s="148">
        <v>44348</v>
      </c>
      <c r="B23" s="151">
        <v>296.15318181818191</v>
      </c>
      <c r="C23" s="151">
        <v>406.90909090909093</v>
      </c>
      <c r="D23" s="152"/>
    </row>
    <row r="24" spans="1:4">
      <c r="A24" s="148">
        <v>44378</v>
      </c>
      <c r="B24" s="152">
        <v>294.10227272727258</v>
      </c>
      <c r="C24" s="152">
        <v>396.04545454545456</v>
      </c>
      <c r="D24" s="152"/>
    </row>
    <row r="25" spans="1:4">
      <c r="A25" s="148">
        <v>44409</v>
      </c>
      <c r="B25" s="152">
        <v>304.03136363636366</v>
      </c>
      <c r="C25" s="152">
        <v>392.63636363636363</v>
      </c>
      <c r="D25" s="152"/>
    </row>
    <row r="26" spans="1:4">
      <c r="A26" s="148">
        <v>44440</v>
      </c>
      <c r="B26" s="151">
        <v>307.94500000000005</v>
      </c>
      <c r="C26" s="151">
        <v>401.72727272727275</v>
      </c>
      <c r="D26" s="152"/>
    </row>
    <row r="27" spans="1:4">
      <c r="A27" s="148">
        <v>44470</v>
      </c>
      <c r="B27" s="151">
        <v>334.67476190476185</v>
      </c>
      <c r="C27" s="151">
        <v>386.52380952380952</v>
      </c>
      <c r="D27" s="152"/>
    </row>
    <row r="28" spans="1:4">
      <c r="A28" s="148">
        <v>44501</v>
      </c>
      <c r="B28" s="151">
        <v>346.90409090909077</v>
      </c>
      <c r="C28" s="151">
        <v>392.86363636363637</v>
      </c>
      <c r="D28" s="152"/>
    </row>
    <row r="29" spans="1:4">
      <c r="A29" s="148">
        <v>44531</v>
      </c>
      <c r="B29" s="151">
        <v>380.13608695652169</v>
      </c>
      <c r="C29" s="151">
        <v>425.17391304347825</v>
      </c>
      <c r="D29" s="152"/>
    </row>
    <row r="30" spans="1:4">
      <c r="A30" s="148">
        <v>44562</v>
      </c>
      <c r="B30" s="151">
        <v>410.42428571428582</v>
      </c>
      <c r="C30" s="151">
        <v>464.61904761904759</v>
      </c>
      <c r="D30" s="152"/>
    </row>
    <row r="31" spans="1:4">
      <c r="A31" s="148">
        <v>44593</v>
      </c>
      <c r="B31" s="152">
        <v>409.05950000000001</v>
      </c>
      <c r="C31" s="152">
        <v>505.15</v>
      </c>
      <c r="D31" s="152"/>
    </row>
    <row r="32" spans="1:4">
      <c r="A32" s="148">
        <v>44621</v>
      </c>
      <c r="B32" s="152">
        <v>506.52739130434782</v>
      </c>
      <c r="C32" s="152">
        <v>547.695652173913</v>
      </c>
      <c r="D32" s="152"/>
    </row>
    <row r="33" spans="1:4">
      <c r="A33" s="148">
        <v>44652</v>
      </c>
      <c r="B33" s="151">
        <v>533.00238095238103</v>
      </c>
      <c r="C33" s="151">
        <v>515.71428571428567</v>
      </c>
      <c r="D33" s="152"/>
    </row>
    <row r="34" spans="1:4">
      <c r="A34" s="148">
        <v>44682</v>
      </c>
      <c r="B34" s="151">
        <v>419.20636363636362</v>
      </c>
      <c r="C34" s="151">
        <v>473.04545454545456</v>
      </c>
      <c r="D34" s="152"/>
    </row>
    <row r="35" spans="1:4">
      <c r="A35" s="148">
        <v>44713</v>
      </c>
      <c r="B35" s="151">
        <v>358.82636363636368</v>
      </c>
      <c r="C35" s="151">
        <v>476</v>
      </c>
      <c r="D35" s="152"/>
    </row>
    <row r="36" spans="1:4">
      <c r="A36" s="148">
        <v>44743</v>
      </c>
      <c r="B36" s="151">
        <v>326.77952380952377</v>
      </c>
      <c r="C36" s="151">
        <v>486.09523809523807</v>
      </c>
      <c r="D36" s="152"/>
    </row>
    <row r="37" spans="1:4">
      <c r="A37" s="148">
        <v>44774</v>
      </c>
      <c r="B37" s="151">
        <v>354.78695652173906</v>
      </c>
      <c r="C37" s="151">
        <v>488.95652173913044</v>
      </c>
      <c r="D37" s="152"/>
    </row>
    <row r="38" spans="1:4">
      <c r="A38" s="148">
        <v>44805</v>
      </c>
      <c r="B38" s="152">
        <v>339.69590909090903</v>
      </c>
      <c r="C38" s="152">
        <v>479.81818181818181</v>
      </c>
      <c r="D38" s="152"/>
    </row>
    <row r="39" spans="1:4">
      <c r="A39" s="148">
        <v>44835</v>
      </c>
      <c r="B39" s="152">
        <v>361.8590476190476</v>
      </c>
      <c r="C39" s="152">
        <v>486.6</v>
      </c>
      <c r="D39" s="152"/>
    </row>
    <row r="40" spans="1:4">
      <c r="A40" s="148">
        <v>44866</v>
      </c>
      <c r="B40" s="151">
        <v>355.16772727272729</v>
      </c>
      <c r="C40" s="151">
        <v>482.36363636363637</v>
      </c>
      <c r="D40" s="152"/>
    </row>
    <row r="41" spans="1:4">
      <c r="A41" s="148">
        <v>44896</v>
      </c>
      <c r="B41" s="151">
        <v>362.31909090909085</v>
      </c>
      <c r="C41" s="151">
        <v>539.40909090909088</v>
      </c>
      <c r="D41" s="152"/>
    </row>
    <row r="42" spans="1:4">
      <c r="A42" s="148">
        <v>44927</v>
      </c>
      <c r="B42" s="151">
        <v>387.34681818181815</v>
      </c>
      <c r="C42" s="151">
        <v>584.40909090909088</v>
      </c>
      <c r="D42" s="152"/>
    </row>
    <row r="43" spans="1:4">
      <c r="A43" s="148">
        <v>44958</v>
      </c>
      <c r="B43" s="151">
        <v>385.26800000000009</v>
      </c>
      <c r="C43" s="151">
        <v>587.54999999999995</v>
      </c>
      <c r="D43" s="152"/>
    </row>
    <row r="44" spans="1:4">
      <c r="A44" s="148">
        <v>44986</v>
      </c>
      <c r="B44" s="151">
        <v>360.89826086956515</v>
      </c>
      <c r="C44" s="151">
        <v>544.17391304347825</v>
      </c>
      <c r="D44" s="152"/>
    </row>
    <row r="45" spans="1:4">
      <c r="A45" s="148">
        <v>45017</v>
      </c>
      <c r="B45" s="152">
        <v>347.34</v>
      </c>
      <c r="C45" s="152">
        <v>524</v>
      </c>
      <c r="D45" s="152"/>
    </row>
    <row r="47" spans="1:4">
      <c r="B47" s="152"/>
      <c r="C47" s="152"/>
      <c r="D47" s="152"/>
    </row>
    <row r="48" spans="1:4">
      <c r="B48" s="152"/>
      <c r="C48" s="152"/>
      <c r="D48" s="152"/>
    </row>
    <row r="49" spans="2:3">
      <c r="B49" s="152"/>
      <c r="C49" s="152"/>
    </row>
    <row r="50" spans="2:3">
      <c r="B50" s="153"/>
      <c r="C50" s="15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8"/>
  <sheetViews>
    <sheetView showGridLines="0" zoomScale="70" zoomScaleNormal="70" workbookViewId="0"/>
  </sheetViews>
  <sheetFormatPr defaultColWidth="9.109375" defaultRowHeight="13.2"/>
  <cols>
    <col min="1" max="1" width="21.6640625" customWidth="1"/>
    <col min="2" max="2" width="14.109375" bestFit="1" customWidth="1"/>
    <col min="3" max="3" width="9.5546875" customWidth="1"/>
    <col min="4" max="4" width="26.6640625" customWidth="1"/>
    <col min="5" max="5" width="9.6640625" customWidth="1"/>
    <col min="6" max="6" width="10.6640625" customWidth="1"/>
    <col min="7" max="7" width="8.6640625" bestFit="1" customWidth="1"/>
    <col min="8" max="8" width="9.6640625" customWidth="1"/>
    <col min="9" max="9" width="1.6640625" customWidth="1"/>
    <col min="10" max="10" width="12.44140625" customWidth="1"/>
    <col min="11" max="12" width="10.6640625" customWidth="1"/>
    <col min="13" max="13" width="10.33203125" customWidth="1"/>
    <col min="14" max="14" width="9.6640625" customWidth="1"/>
    <col min="17" max="17" width="15.44140625" bestFit="1" customWidth="1"/>
    <col min="18" max="18" width="10.109375" bestFit="1" customWidth="1"/>
  </cols>
  <sheetData>
    <row r="1" spans="1:23" ht="13.8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3" ht="13.8">
      <c r="A2" s="16"/>
      <c r="B2" s="17" t="s">
        <v>13</v>
      </c>
      <c r="C2" s="125"/>
      <c r="D2" s="18" t="s">
        <v>14</v>
      </c>
      <c r="E2" s="19"/>
      <c r="F2" s="125" t="s">
        <v>15</v>
      </c>
      <c r="G2" s="125"/>
      <c r="H2" s="125"/>
      <c r="I2" s="16"/>
      <c r="J2" s="19"/>
      <c r="K2" s="125"/>
      <c r="L2" s="20" t="s">
        <v>16</v>
      </c>
      <c r="M2" s="125"/>
      <c r="N2" s="16"/>
    </row>
    <row r="3" spans="1:23" ht="13.8">
      <c r="A3" s="16" t="s">
        <v>17</v>
      </c>
      <c r="B3" s="18" t="s">
        <v>18</v>
      </c>
      <c r="C3" s="16" t="s">
        <v>19</v>
      </c>
      <c r="D3" s="18"/>
      <c r="E3" s="21" t="s">
        <v>20</v>
      </c>
      <c r="F3" s="21"/>
      <c r="G3" s="21"/>
      <c r="H3" s="21"/>
      <c r="I3" s="21"/>
      <c r="J3" s="18" t="s">
        <v>21</v>
      </c>
      <c r="K3" s="21" t="s">
        <v>22</v>
      </c>
      <c r="L3" s="21"/>
      <c r="M3" s="21"/>
      <c r="N3" s="21" t="s">
        <v>23</v>
      </c>
    </row>
    <row r="4" spans="1:23" ht="13.8">
      <c r="A4" s="22" t="s">
        <v>24</v>
      </c>
      <c r="B4" s="23"/>
      <c r="C4" s="23"/>
      <c r="D4" s="23"/>
      <c r="E4" s="24" t="s">
        <v>25</v>
      </c>
      <c r="F4" s="24" t="s">
        <v>26</v>
      </c>
      <c r="G4" s="25" t="s">
        <v>27</v>
      </c>
      <c r="H4" s="26" t="s">
        <v>28</v>
      </c>
      <c r="I4" s="25"/>
      <c r="J4" s="25"/>
      <c r="K4" s="25" t="s">
        <v>29</v>
      </c>
      <c r="L4" s="26" t="s">
        <v>30</v>
      </c>
      <c r="M4" s="24" t="s">
        <v>28</v>
      </c>
      <c r="N4" s="25" t="s">
        <v>25</v>
      </c>
      <c r="W4" s="27"/>
    </row>
    <row r="5" spans="1:23" ht="14.4">
      <c r="A5" s="16"/>
      <c r="B5" s="28" t="s">
        <v>31</v>
      </c>
      <c r="C5" s="126"/>
      <c r="D5" s="29" t="s">
        <v>32</v>
      </c>
      <c r="G5" s="28"/>
      <c r="I5" s="28"/>
      <c r="J5" s="28" t="s">
        <v>33</v>
      </c>
      <c r="K5" s="28"/>
      <c r="L5" s="28"/>
      <c r="M5" s="28"/>
      <c r="N5" s="28"/>
      <c r="W5" s="27"/>
    </row>
    <row r="6" spans="1:23" ht="16.5" customHeight="1">
      <c r="A6" s="16" t="s">
        <v>34</v>
      </c>
      <c r="B6" s="30">
        <v>83.353999999999999</v>
      </c>
      <c r="C6" s="30">
        <v>82.602999999999994</v>
      </c>
      <c r="D6" s="30">
        <f>F6/C6</f>
        <v>51.042964541239421</v>
      </c>
      <c r="E6" s="31">
        <v>524.54100000000005</v>
      </c>
      <c r="F6" s="32">
        <v>4216.3019999999997</v>
      </c>
      <c r="G6" s="33">
        <v>19.815142646399998</v>
      </c>
      <c r="H6" s="33">
        <f>SUM(E6:G6)</f>
        <v>4760.6581426463999</v>
      </c>
      <c r="I6" s="16"/>
      <c r="J6" s="32">
        <v>2140.5846999999999</v>
      </c>
      <c r="K6" s="32">
        <f t="shared" ref="K6:K8" si="0">M6-L6-J6</f>
        <v>97.272779870399972</v>
      </c>
      <c r="L6" s="33">
        <v>2265.8216627759998</v>
      </c>
      <c r="M6" s="33">
        <f>H6-N6</f>
        <v>4503.6791426463997</v>
      </c>
      <c r="N6" s="33">
        <v>256.97899999999998</v>
      </c>
    </row>
    <row r="7" spans="1:23" ht="16.5" customHeight="1">
      <c r="A7" s="16" t="s">
        <v>35</v>
      </c>
      <c r="B7" s="30">
        <v>87.194999999999993</v>
      </c>
      <c r="C7" s="30">
        <v>86.311999999999998</v>
      </c>
      <c r="D7" s="30">
        <f>F7/C7</f>
        <v>51.735355454629712</v>
      </c>
      <c r="E7" s="31">
        <f>N6</f>
        <v>256.97899999999998</v>
      </c>
      <c r="F7" s="32">
        <f>F27</f>
        <v>4465.3819999999996</v>
      </c>
      <c r="G7" s="33">
        <f>G27</f>
        <v>15.9101740464</v>
      </c>
      <c r="H7" s="33">
        <f>SUM(E7:G7)</f>
        <v>4738.2711740464001</v>
      </c>
      <c r="I7" s="16"/>
      <c r="J7" s="32">
        <f>J27</f>
        <v>2203.8901705391709</v>
      </c>
      <c r="K7" s="32">
        <f t="shared" si="0"/>
        <v>102.34031607682891</v>
      </c>
      <c r="L7" s="33">
        <f>L27</f>
        <v>2157.6466874304001</v>
      </c>
      <c r="M7" s="33">
        <f>H7-N7</f>
        <v>4463.8771740463999</v>
      </c>
      <c r="N7" s="33">
        <f>N26</f>
        <v>274.39400000000001</v>
      </c>
    </row>
    <row r="8" spans="1:23" ht="16.5" customHeight="1">
      <c r="A8" s="16" t="s">
        <v>36</v>
      </c>
      <c r="B8" s="30">
        <v>87.45</v>
      </c>
      <c r="C8" s="30">
        <v>86.335999999999999</v>
      </c>
      <c r="D8" s="30">
        <f>F8/C8</f>
        <v>49.528852390659743</v>
      </c>
      <c r="E8" s="31">
        <v>274.39400000000001</v>
      </c>
      <c r="F8" s="32">
        <v>4276.1229999999996</v>
      </c>
      <c r="G8" s="33">
        <v>15</v>
      </c>
      <c r="H8" s="33">
        <f>SUM(E8:G8)</f>
        <v>4565.5169999999998</v>
      </c>
      <c r="I8" s="16"/>
      <c r="J8" s="32">
        <v>2220</v>
      </c>
      <c r="K8" s="32">
        <f t="shared" si="0"/>
        <v>120.27217429790016</v>
      </c>
      <c r="L8" s="33">
        <v>2015</v>
      </c>
      <c r="M8" s="33">
        <f>H8-N8</f>
        <v>4355.2721742979002</v>
      </c>
      <c r="N8" s="33">
        <v>210.24482570209966</v>
      </c>
    </row>
    <row r="9" spans="1:23" ht="16.5" customHeight="1">
      <c r="A9" s="16"/>
      <c r="B9" s="16"/>
      <c r="C9" s="16"/>
      <c r="D9" s="16"/>
      <c r="E9" s="34"/>
      <c r="F9" s="34"/>
      <c r="G9" s="35"/>
      <c r="H9" s="34"/>
      <c r="I9" s="34"/>
      <c r="J9" s="35"/>
      <c r="K9" s="35"/>
      <c r="L9" s="35"/>
      <c r="M9" s="35"/>
      <c r="N9" s="35"/>
    </row>
    <row r="10" spans="1:23" ht="16.5" customHeight="1">
      <c r="A10" s="36" t="s">
        <v>37</v>
      </c>
      <c r="B10" s="106"/>
      <c r="C10" s="106"/>
      <c r="D10" s="106"/>
      <c r="E10" s="38"/>
      <c r="F10" s="39"/>
      <c r="G10" s="6"/>
      <c r="H10" s="13"/>
      <c r="I10" s="106"/>
      <c r="J10" s="13"/>
      <c r="K10" s="37"/>
      <c r="L10" s="6"/>
      <c r="M10" s="6"/>
      <c r="N10" s="13"/>
    </row>
    <row r="11" spans="1:23" ht="16.5" customHeight="1">
      <c r="A11" s="16" t="s">
        <v>38</v>
      </c>
      <c r="B11" s="106"/>
      <c r="C11" s="106"/>
      <c r="D11" s="111"/>
      <c r="E11" s="38"/>
      <c r="F11" s="39"/>
      <c r="G11" s="6">
        <f>(24488.6*36.744)/1000000</f>
        <v>0.89980911839999989</v>
      </c>
      <c r="I11" s="106"/>
      <c r="J11" s="13">
        <f>((4924574*0.907185)*36.744)/1000000</f>
        <v>164.15380766099736</v>
      </c>
      <c r="K11" s="37"/>
      <c r="L11" s="6">
        <f>(2098690.6*36.744)/1000000</f>
        <v>77.11428740640001</v>
      </c>
      <c r="M11" s="6"/>
      <c r="N11" s="13"/>
      <c r="Q11" s="111"/>
    </row>
    <row r="12" spans="1:23" ht="16.5" customHeight="1">
      <c r="A12" s="16" t="s">
        <v>39</v>
      </c>
      <c r="B12" s="106"/>
      <c r="C12" s="106"/>
      <c r="D12" s="111"/>
      <c r="E12" s="38"/>
      <c r="F12" s="39"/>
      <c r="G12" s="6">
        <f>(19229.4*36.744)/1000000</f>
        <v>0.70656507359999998</v>
      </c>
      <c r="I12" s="106"/>
      <c r="J12" s="13">
        <f>((5908157*0.907185)*36.744)/1000000</f>
        <v>196.9401754972055</v>
      </c>
      <c r="K12" s="37"/>
      <c r="L12" s="6">
        <f>(10749625.7*36.744)/1000000</f>
        <v>394.9842467208</v>
      </c>
      <c r="M12" s="6"/>
      <c r="N12" s="13"/>
      <c r="Q12" s="111"/>
    </row>
    <row r="13" spans="1:23" ht="16.5" customHeight="1">
      <c r="A13" s="16" t="s">
        <v>40</v>
      </c>
      <c r="B13" s="106"/>
      <c r="C13" s="106"/>
      <c r="D13" s="111"/>
      <c r="E13" s="38"/>
      <c r="F13" s="39"/>
      <c r="G13" s="6">
        <f>(34894.1*36.744)/1000000</f>
        <v>1.2821488103999998</v>
      </c>
      <c r="I13" s="106"/>
      <c r="J13" s="13">
        <f>((5717943*0.907185)*36.744)/1000000</f>
        <v>190.59965703399854</v>
      </c>
      <c r="K13" s="37"/>
      <c r="L13" s="6">
        <f>(10581460.9*36.744)/1000000</f>
        <v>388.80519930959997</v>
      </c>
      <c r="M13" s="6"/>
      <c r="N13" s="13"/>
      <c r="Q13" s="111"/>
    </row>
    <row r="14" spans="1:23" ht="16.5" customHeight="1">
      <c r="A14" s="16" t="s">
        <v>41</v>
      </c>
      <c r="B14" s="106"/>
      <c r="C14" s="106"/>
      <c r="E14" s="38">
        <f>N6</f>
        <v>256.97899999999998</v>
      </c>
      <c r="F14" s="38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06"/>
      <c r="J14" s="13">
        <f>SUM(J11:J13)</f>
        <v>551.69364019220143</v>
      </c>
      <c r="K14" s="37">
        <f>M14-L14-J14</f>
        <v>176.1281493733984</v>
      </c>
      <c r="L14" s="6">
        <f>SUM(L11:L13)</f>
        <v>860.90373343679994</v>
      </c>
      <c r="M14" s="6">
        <f>H14-N14</f>
        <v>1588.7255230023998</v>
      </c>
      <c r="N14" s="13">
        <v>3136.5239999999999</v>
      </c>
    </row>
    <row r="15" spans="1:23" ht="16.5" customHeight="1">
      <c r="A15" s="16" t="s">
        <v>42</v>
      </c>
      <c r="B15" s="106"/>
      <c r="C15" s="106"/>
      <c r="D15" s="111"/>
      <c r="E15" s="38"/>
      <c r="F15" s="38"/>
      <c r="G15" s="6">
        <f>(27884.8*36.744)/1000000</f>
        <v>1.0245990912</v>
      </c>
      <c r="H15" s="13"/>
      <c r="I15" s="106"/>
      <c r="J15" s="13">
        <f>((5947222*0.907185)*36.744)/1000000</f>
        <v>198.24235280153209</v>
      </c>
      <c r="K15" s="37"/>
      <c r="L15" s="6">
        <f>(7940701.7*36.744)/1000000</f>
        <v>291.77314326480001</v>
      </c>
      <c r="M15" s="6"/>
      <c r="N15" s="13"/>
      <c r="Q15" s="111"/>
    </row>
    <row r="16" spans="1:23" ht="16.5" customHeight="1">
      <c r="A16" s="16" t="s">
        <v>43</v>
      </c>
      <c r="B16" s="106"/>
      <c r="C16" s="106"/>
      <c r="D16" s="111"/>
      <c r="E16" s="38"/>
      <c r="F16" s="38"/>
      <c r="G16" s="6">
        <f>(23947.4*36.744)/1000000</f>
        <v>0.8799232656</v>
      </c>
      <c r="H16" s="13"/>
      <c r="I16" s="106"/>
      <c r="J16" s="13">
        <f>((5828974*0.907185)*36.744)/1000000</f>
        <v>194.30072060181334</v>
      </c>
      <c r="K16" s="37"/>
      <c r="L16" s="6">
        <f>(6392108.3*36.744)/1000000</f>
        <v>234.87162737520001</v>
      </c>
      <c r="M16" s="6"/>
      <c r="N16" s="13"/>
      <c r="Q16" s="111"/>
    </row>
    <row r="17" spans="1:17" ht="16.5" customHeight="1">
      <c r="A17" s="16" t="s">
        <v>44</v>
      </c>
      <c r="B17" s="106"/>
      <c r="C17" s="106"/>
      <c r="D17" s="111"/>
      <c r="E17" s="38"/>
      <c r="F17" s="38"/>
      <c r="G17" s="6">
        <f>(47248.7*36.744)/1000000</f>
        <v>1.7361062327999999</v>
      </c>
      <c r="H17" s="13"/>
      <c r="I17" s="106"/>
      <c r="J17" s="13">
        <f>((5232453*0.907185)*36.744)/1000000</f>
        <v>174.41652483183492</v>
      </c>
      <c r="K17" s="37"/>
      <c r="L17" s="6">
        <f>(3791255.7*36.744)/1000000</f>
        <v>139.3058994408</v>
      </c>
      <c r="M17" s="6"/>
      <c r="N17" s="13"/>
      <c r="Q17" s="111"/>
    </row>
    <row r="18" spans="1:17" ht="16.5" customHeight="1">
      <c r="A18" s="16" t="s">
        <v>45</v>
      </c>
      <c r="B18" s="106"/>
      <c r="C18" s="106"/>
      <c r="E18" s="38">
        <f>N14</f>
        <v>3136.5239999999999</v>
      </c>
      <c r="F18" s="38"/>
      <c r="G18" s="6">
        <f>SUM(G15:G17)</f>
        <v>3.6406285895999999</v>
      </c>
      <c r="H18" s="13">
        <f>E18+F18+G18</f>
        <v>3140.1646285895999</v>
      </c>
      <c r="I18" s="106"/>
      <c r="J18" s="13">
        <f>SUM(J15:J17)</f>
        <v>566.95959823518035</v>
      </c>
      <c r="K18" s="37">
        <f>M18-L18-J18</f>
        <v>-24.562639726380439</v>
      </c>
      <c r="L18" s="6">
        <f>SUM(L15:L17)</f>
        <v>665.95067008080002</v>
      </c>
      <c r="M18" s="6">
        <f>H18-N18</f>
        <v>1208.3476285895999</v>
      </c>
      <c r="N18" s="13">
        <v>1931.817</v>
      </c>
      <c r="P18" s="40"/>
    </row>
    <row r="19" spans="1:17" ht="16.5" customHeight="1">
      <c r="A19" s="16" t="s">
        <v>46</v>
      </c>
      <c r="B19" s="106"/>
      <c r="C19" s="106"/>
      <c r="D19" s="111"/>
      <c r="E19" s="38"/>
      <c r="F19" s="38"/>
      <c r="G19" s="6">
        <f>(33665.9*36.744)/1000000</f>
        <v>1.2370198296000001</v>
      </c>
      <c r="H19" s="13"/>
      <c r="I19" s="106"/>
      <c r="J19" s="13">
        <f>((5786159*0.907185)*36.744)/1000000</f>
        <v>192.87354227633676</v>
      </c>
      <c r="K19" s="37"/>
      <c r="L19" s="6">
        <f>(3184420.8*36.744)/1000000</f>
        <v>117.00835787519999</v>
      </c>
      <c r="M19" s="6"/>
      <c r="N19" s="13"/>
      <c r="Q19" s="111"/>
    </row>
    <row r="20" spans="1:17" ht="16.5" customHeight="1">
      <c r="A20" s="16" t="s">
        <v>47</v>
      </c>
      <c r="B20" s="106"/>
      <c r="C20" s="106"/>
      <c r="D20" s="111"/>
      <c r="E20" s="38"/>
      <c r="F20" s="38"/>
      <c r="G20" s="6">
        <f>(49190.6*36.744)/1000000</f>
        <v>1.8074594064</v>
      </c>
      <c r="H20" s="13"/>
      <c r="I20" s="106"/>
      <c r="J20" s="13">
        <f>((5426712*0.907185)*36.744)/1000000</f>
        <v>180.89187772985568</v>
      </c>
      <c r="K20" s="37"/>
      <c r="L20" s="6">
        <f>(3657248.5*36.744)/1000000</f>
        <v>134.38193888399999</v>
      </c>
      <c r="M20" s="6"/>
      <c r="N20" s="13"/>
      <c r="Q20" s="111"/>
    </row>
    <row r="21" spans="1:17" ht="16.5" customHeight="1">
      <c r="A21" s="16" t="s">
        <v>48</v>
      </c>
      <c r="B21" s="106"/>
      <c r="C21" s="106"/>
      <c r="D21" s="111"/>
      <c r="E21" s="38"/>
      <c r="F21" s="38"/>
      <c r="G21" s="6">
        <f>(30553.6*36.744)/1000000</f>
        <v>1.1226614784</v>
      </c>
      <c r="H21" s="13"/>
      <c r="I21" s="106"/>
      <c r="J21" s="13">
        <f>((5427160*0.907185)*36.744)/1000000</f>
        <v>180.90681118518239</v>
      </c>
      <c r="K21" s="37"/>
      <c r="L21" s="6">
        <f>(2413962.6*36.744)/1000000</f>
        <v>88.698641774400002</v>
      </c>
      <c r="M21" s="6"/>
      <c r="N21" s="13"/>
      <c r="Q21" s="111"/>
    </row>
    <row r="22" spans="1:17" ht="16.5" customHeight="1">
      <c r="A22" s="16" t="s">
        <v>49</v>
      </c>
      <c r="B22" s="106"/>
      <c r="C22" s="106"/>
      <c r="E22" s="38">
        <f>N18</f>
        <v>1931.817</v>
      </c>
      <c r="F22" s="38"/>
      <c r="G22" s="6">
        <f>SUM(G19:G21)</f>
        <v>4.1671407144000003</v>
      </c>
      <c r="H22" s="13">
        <f>E22+F22+G22</f>
        <v>1935.9841407143999</v>
      </c>
      <c r="I22" s="106"/>
      <c r="J22" s="13">
        <f>SUM(J19:J21)</f>
        <v>554.67223119137486</v>
      </c>
      <c r="K22" s="37">
        <f>M22-L22-J22</f>
        <v>73.697970989425016</v>
      </c>
      <c r="L22" s="6">
        <f>SUM(L19:L21)</f>
        <v>340.08893853360001</v>
      </c>
      <c r="M22" s="6">
        <f>H22-N22</f>
        <v>968.45914071439995</v>
      </c>
      <c r="N22" s="13">
        <v>967.52499999999998</v>
      </c>
    </row>
    <row r="23" spans="1:17" ht="16.5" customHeight="1">
      <c r="A23" s="16" t="s">
        <v>50</v>
      </c>
      <c r="B23" s="106"/>
      <c r="C23" s="106"/>
      <c r="E23" s="38"/>
      <c r="F23" s="38"/>
      <c r="G23" s="6">
        <f>(21134.8*36.744)/1000000</f>
        <v>0.77657709120000007</v>
      </c>
      <c r="H23" s="13"/>
      <c r="I23" s="106"/>
      <c r="J23" s="13">
        <f>((5222412*0.907185)*36.744)/1000000</f>
        <v>174.08182209760369</v>
      </c>
      <c r="K23" s="37"/>
      <c r="L23" s="6">
        <f>(2271040.2*36.744)/1000000</f>
        <v>83.447101108800013</v>
      </c>
      <c r="M23" s="6"/>
      <c r="N23" s="13"/>
    </row>
    <row r="24" spans="1:17" ht="16.5" customHeight="1">
      <c r="A24" s="16" t="s">
        <v>51</v>
      </c>
      <c r="B24" s="106"/>
      <c r="C24" s="106"/>
      <c r="E24" s="38"/>
      <c r="F24" s="38"/>
      <c r="G24" s="6">
        <f>(60079*36.744)/1000000</f>
        <v>2.2075427759999999</v>
      </c>
      <c r="H24" s="13"/>
      <c r="I24" s="106"/>
      <c r="J24" s="13">
        <f>((5441780*0.907185)*36.744)/1000000</f>
        <v>181.39414849963919</v>
      </c>
      <c r="K24" s="37"/>
      <c r="L24" s="6">
        <f>(2323087.5*36.744)/1000000</f>
        <v>85.359527099999994</v>
      </c>
      <c r="M24" s="6"/>
      <c r="N24" s="13"/>
    </row>
    <row r="25" spans="1:17" ht="16.5" customHeight="1">
      <c r="A25" s="16" t="s">
        <v>52</v>
      </c>
      <c r="B25" s="106"/>
      <c r="C25" s="106"/>
      <c r="E25" s="38"/>
      <c r="F25" s="38"/>
      <c r="G25" s="6">
        <f>(60683.8*36.744)/1000000</f>
        <v>2.2297655472</v>
      </c>
      <c r="H25" s="13"/>
      <c r="I25" s="106"/>
      <c r="J25" s="13">
        <f>((5252619*0.907185)*36.744)/1000000</f>
        <v>175.08873032317118</v>
      </c>
      <c r="K25" s="37"/>
      <c r="L25" s="6">
        <f>(3317459.2*36.744)/1000000</f>
        <v>121.89672084480002</v>
      </c>
      <c r="M25" s="6"/>
      <c r="N25" s="13"/>
    </row>
    <row r="26" spans="1:17" ht="16.5" customHeight="1">
      <c r="A26" s="16" t="s">
        <v>53</v>
      </c>
      <c r="B26" s="106"/>
      <c r="C26" s="106"/>
      <c r="E26" s="38">
        <f>N22</f>
        <v>967.52499999999998</v>
      </c>
      <c r="F26" s="38"/>
      <c r="G26" s="6">
        <f>SUM(G23:G25)</f>
        <v>5.2138854144</v>
      </c>
      <c r="H26" s="13">
        <f>E26+F26+G26</f>
        <v>972.73888541439999</v>
      </c>
      <c r="I26" s="106"/>
      <c r="J26" s="13">
        <f>SUM(J23:J25)</f>
        <v>530.564700920414</v>
      </c>
      <c r="K26" s="37">
        <f>M26-L26-J26</f>
        <v>-122.92316455961407</v>
      </c>
      <c r="L26" s="6">
        <f>SUM(L23:L25)</f>
        <v>290.70334905360005</v>
      </c>
      <c r="M26" s="6">
        <f>H26-N26</f>
        <v>698.34488541439998</v>
      </c>
      <c r="N26" s="13">
        <f>274.394</f>
        <v>274.39400000000001</v>
      </c>
    </row>
    <row r="27" spans="1:17" ht="16.5" customHeight="1">
      <c r="A27" s="16" t="s">
        <v>28</v>
      </c>
      <c r="B27" s="106"/>
      <c r="C27" s="106"/>
      <c r="D27" s="106"/>
      <c r="E27" s="38"/>
      <c r="F27" s="38">
        <f>F14</f>
        <v>4465.3819999999996</v>
      </c>
      <c r="G27" s="6">
        <f>(433000.6*36.744)/1000000</f>
        <v>15.9101740464</v>
      </c>
      <c r="H27" s="13">
        <f>E14+F27+G27</f>
        <v>4738.2711740464001</v>
      </c>
      <c r="I27" s="106"/>
      <c r="J27" s="13">
        <f>SUM(J14,J18,J22,J26)</f>
        <v>2203.8901705391709</v>
      </c>
      <c r="K27" s="37">
        <f>SUM(K14,K18,K22,K26)</f>
        <v>102.34031607682891</v>
      </c>
      <c r="L27" s="6">
        <f>(58721061.6*36.744)/1000000</f>
        <v>2157.6466874304001</v>
      </c>
      <c r="M27" s="6">
        <f>SUM(M14,M18,M22,M26)</f>
        <v>4463.8771777207994</v>
      </c>
      <c r="N27" s="13"/>
    </row>
    <row r="28" spans="1:17" ht="16.5" customHeight="1">
      <c r="A28" s="16"/>
      <c r="B28" s="106"/>
      <c r="C28" s="106"/>
      <c r="D28" s="106"/>
      <c r="E28" s="38"/>
      <c r="F28" s="38"/>
      <c r="G28" s="6"/>
      <c r="H28" s="13"/>
      <c r="I28" s="106"/>
      <c r="J28" s="13"/>
      <c r="K28" s="37"/>
      <c r="L28" s="6"/>
      <c r="M28" s="6"/>
      <c r="N28" s="13"/>
    </row>
    <row r="29" spans="1:17" ht="16.5" customHeight="1">
      <c r="A29" s="36" t="s">
        <v>54</v>
      </c>
      <c r="B29" s="106"/>
      <c r="C29" s="106"/>
      <c r="D29" s="106"/>
      <c r="E29" s="38"/>
      <c r="F29" s="38"/>
      <c r="G29" s="6"/>
      <c r="H29" s="13"/>
      <c r="I29" s="106"/>
      <c r="J29" s="13"/>
      <c r="K29" s="37"/>
      <c r="L29" s="6"/>
      <c r="M29" s="6"/>
      <c r="N29" s="13"/>
    </row>
    <row r="30" spans="1:17" ht="16.5" customHeight="1">
      <c r="A30" s="16" t="s">
        <v>38</v>
      </c>
      <c r="B30" s="106"/>
      <c r="C30" s="106"/>
      <c r="D30" s="106"/>
      <c r="E30" s="38"/>
      <c r="F30" s="38"/>
      <c r="G30" s="6">
        <f>(31760.9*36.744)/1000000</f>
        <v>1.1670225096</v>
      </c>
      <c r="H30" s="13"/>
      <c r="I30" s="106"/>
      <c r="J30" s="6">
        <f>((5028287*0.907185)*36.744)/1000000</f>
        <v>167.6109359027387</v>
      </c>
      <c r="K30" s="37"/>
      <c r="L30" s="6">
        <f>(2122949.2*36.744)/1000000</f>
        <v>78.005645404800006</v>
      </c>
      <c r="M30" s="6"/>
      <c r="N30" s="13"/>
    </row>
    <row r="31" spans="1:17" ht="16.5" customHeight="1">
      <c r="A31" s="16" t="s">
        <v>39</v>
      </c>
      <c r="B31" s="106"/>
      <c r="C31" s="106"/>
      <c r="D31" s="106"/>
      <c r="E31" s="38"/>
      <c r="F31" s="38"/>
      <c r="G31" s="6">
        <f>(33846.3*36.744)/1000000</f>
        <v>1.2436484472</v>
      </c>
      <c r="H31" s="13"/>
      <c r="I31" s="106"/>
      <c r="J31" s="6">
        <f>((5899694*0.907185)*36.744)/1000000</f>
        <v>196.65807319267415</v>
      </c>
      <c r="K31" s="37"/>
      <c r="L31" s="6">
        <f>(9780846.5*36.744)/1000000</f>
        <v>359.38742379600001</v>
      </c>
      <c r="M31" s="6"/>
      <c r="N31" s="13"/>
    </row>
    <row r="32" spans="1:17" ht="16.5" customHeight="1">
      <c r="A32" s="16" t="s">
        <v>40</v>
      </c>
      <c r="B32" s="106"/>
      <c r="C32" s="106"/>
      <c r="D32" s="106"/>
      <c r="E32" s="38"/>
      <c r="F32" s="38"/>
      <c r="G32" s="6">
        <f>(34971.9*36.744)/1000000</f>
        <v>1.2850074936000002</v>
      </c>
      <c r="H32" s="13"/>
      <c r="I32" s="106"/>
      <c r="J32" s="6">
        <f>((5687098*0.907185)*36.744)/1000000</f>
        <v>189.57148196803271</v>
      </c>
      <c r="K32" s="37"/>
      <c r="L32" s="6">
        <f>(9667590.7*36.744)/1000000</f>
        <v>355.22595268079994</v>
      </c>
      <c r="M32" s="6"/>
      <c r="N32" s="13"/>
    </row>
    <row r="33" spans="1:73" ht="16.5" customHeight="1">
      <c r="A33" s="16" t="s">
        <v>41</v>
      </c>
      <c r="B33" s="106"/>
      <c r="C33" s="106"/>
      <c r="D33" s="106"/>
      <c r="E33" s="38">
        <f>N26</f>
        <v>274.39400000000001</v>
      </c>
      <c r="F33" s="119">
        <f>4276.123</f>
        <v>4276.1229999999996</v>
      </c>
      <c r="G33" s="6">
        <f>SUM(G30:G32)</f>
        <v>3.6956784504</v>
      </c>
      <c r="H33" s="13">
        <f>SUM(E33:G33)</f>
        <v>4554.2126784503998</v>
      </c>
      <c r="I33" s="106"/>
      <c r="J33" s="6">
        <f>SUM(J30:J32)</f>
        <v>553.8404910634456</v>
      </c>
      <c r="K33" s="37">
        <f>M33-L33-J33</f>
        <v>186.60116550535417</v>
      </c>
      <c r="L33" s="6">
        <f>SUM(L30:L32)</f>
        <v>792.61902188160002</v>
      </c>
      <c r="M33" s="6">
        <f>H33-N33</f>
        <v>1533.0606784503998</v>
      </c>
      <c r="N33" s="13">
        <f>3021.152</f>
        <v>3021.152</v>
      </c>
    </row>
    <row r="34" spans="1:73" ht="16.5" customHeight="1">
      <c r="A34" s="16" t="s">
        <v>42</v>
      </c>
      <c r="B34" s="106"/>
      <c r="C34" s="106"/>
      <c r="D34" s="106"/>
      <c r="E34" s="38"/>
      <c r="F34" s="119"/>
      <c r="G34" s="6">
        <f>(36103.7*36.744)/1000000</f>
        <v>1.3265943527999999</v>
      </c>
      <c r="H34" s="13"/>
      <c r="I34" s="106"/>
      <c r="J34" s="6">
        <f>((5622561*0.907185)*36.744)/1000000</f>
        <v>187.42023106084403</v>
      </c>
      <c r="K34" s="37"/>
      <c r="L34" s="6">
        <f>(8294601.8*36.744)/1000000</f>
        <v>304.77684853919999</v>
      </c>
      <c r="M34" s="6"/>
      <c r="N34" s="13"/>
    </row>
    <row r="35" spans="1:73" ht="16.5" customHeight="1">
      <c r="A35" s="16" t="s">
        <v>43</v>
      </c>
      <c r="B35" s="106"/>
      <c r="C35" s="106"/>
      <c r="D35" s="106"/>
      <c r="E35" s="38"/>
      <c r="F35" s="119"/>
      <c r="G35" s="6">
        <f>(5893.9*36.744)/1000000</f>
        <v>0.21656546159999998</v>
      </c>
      <c r="H35" s="13"/>
      <c r="I35" s="106"/>
      <c r="J35" s="6">
        <f>((5734398*0.907185)*36.744)/1000000</f>
        <v>191.14816151480471</v>
      </c>
      <c r="K35" s="37"/>
      <c r="L35" s="6">
        <f>(8559125.5*36.744)/1000000</f>
        <v>314.496507372</v>
      </c>
      <c r="M35" s="6"/>
      <c r="N35" s="13"/>
    </row>
    <row r="36" spans="1:73" ht="16.5" customHeight="1">
      <c r="A36" s="16" t="s">
        <v>44</v>
      </c>
      <c r="B36" s="106"/>
      <c r="C36" s="106"/>
      <c r="D36" s="106"/>
      <c r="E36" s="38"/>
      <c r="F36" s="119"/>
      <c r="G36" s="6">
        <f>(27761.8*36.744)/1000000</f>
        <v>1.0200795791999999</v>
      </c>
      <c r="H36" s="13"/>
      <c r="I36" s="106"/>
      <c r="J36" s="6">
        <f>((5306995*0.907185)*36.744)/1000000</f>
        <v>176.9012784634518</v>
      </c>
      <c r="K36" s="37"/>
      <c r="L36" s="6">
        <f>(5374314*36.744)/1000000</f>
        <v>197.47379361599999</v>
      </c>
      <c r="M36" s="6"/>
      <c r="N36" s="13"/>
      <c r="P36" s="40"/>
    </row>
    <row r="37" spans="1:73" ht="16.5" customHeight="1">
      <c r="A37" s="16" t="s">
        <v>45</v>
      </c>
      <c r="B37" s="106"/>
      <c r="C37" s="106"/>
      <c r="D37" s="106"/>
      <c r="E37" s="38">
        <f>N33</f>
        <v>3021.152</v>
      </c>
      <c r="F37" s="119"/>
      <c r="G37" s="6">
        <f>SUM(G34:G36)</f>
        <v>2.5632393936</v>
      </c>
      <c r="H37" s="13">
        <f>SUM(E37:G37)</f>
        <v>3023.7152393935999</v>
      </c>
      <c r="I37" s="106"/>
      <c r="J37" s="6">
        <f>SUM(J34:J36)</f>
        <v>555.4696710391006</v>
      </c>
      <c r="K37" s="37">
        <f>M37-L37-J37</f>
        <v>-33.919581172700646</v>
      </c>
      <c r="L37" s="6">
        <f>SUM(L34:L36)</f>
        <v>816.74714952720001</v>
      </c>
      <c r="M37" s="6">
        <f>H37-N37</f>
        <v>1338.2972393936</v>
      </c>
      <c r="N37" s="13">
        <f>1685.418</f>
        <v>1685.4179999999999</v>
      </c>
    </row>
    <row r="38" spans="1:73" ht="16.5" customHeight="1">
      <c r="A38" s="16" t="s">
        <v>28</v>
      </c>
      <c r="B38" s="106"/>
      <c r="C38" s="106"/>
      <c r="D38" s="106"/>
      <c r="E38" s="38"/>
      <c r="F38" s="119">
        <f>F33+F37</f>
        <v>4276.1229999999996</v>
      </c>
      <c r="G38" s="6">
        <f>SUM(G33,G37)</f>
        <v>6.258917844</v>
      </c>
      <c r="H38" s="166">
        <f>E33+F38+G38</f>
        <v>4556.7759178440001</v>
      </c>
      <c r="I38" s="106"/>
      <c r="J38" s="6">
        <f>SUM(J33,J37)</f>
        <v>1109.3101621025462</v>
      </c>
      <c r="K38" s="37">
        <f>SUM(K33,K37)</f>
        <v>152.68158433265353</v>
      </c>
      <c r="L38" s="6">
        <f>SUM(L33,L37)</f>
        <v>1609.3661714088</v>
      </c>
      <c r="M38" s="6">
        <f>SUM(M33,M37)</f>
        <v>2871.3579178439995</v>
      </c>
      <c r="N38" s="13"/>
    </row>
    <row r="39" spans="1:73" ht="16.5" customHeight="1">
      <c r="A39" s="101" t="s">
        <v>55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02"/>
      <c r="M39" s="82"/>
      <c r="N39" s="82"/>
    </row>
    <row r="40" spans="1:73" ht="16.5" customHeight="1">
      <c r="A40" s="16" t="s">
        <v>204</v>
      </c>
      <c r="B40" s="16"/>
      <c r="C40" s="16"/>
      <c r="D40" s="16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73" ht="16.5" customHeight="1">
      <c r="A41" s="21" t="s">
        <v>56</v>
      </c>
      <c r="B41" s="43">
        <f>Contents!A16</f>
        <v>45027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06"/>
      <c r="P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</row>
    <row r="42" spans="1:73">
      <c r="O42" s="106"/>
      <c r="P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</row>
    <row r="43" spans="1:73">
      <c r="O43" s="106"/>
      <c r="P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</row>
    <row r="44" spans="1:73">
      <c r="O44" s="106"/>
      <c r="P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</row>
    <row r="45" spans="1:73">
      <c r="O45" s="106"/>
      <c r="P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</row>
    <row r="46" spans="1:73">
      <c r="J46" s="40"/>
      <c r="L46" s="40"/>
      <c r="O46" s="106"/>
      <c r="P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</row>
    <row r="47" spans="1:73">
      <c r="J47" s="40"/>
      <c r="L47" s="40"/>
      <c r="O47" s="106"/>
      <c r="P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</row>
    <row r="48" spans="1:73">
      <c r="J48" s="40"/>
      <c r="L48" s="40"/>
      <c r="O48" s="106"/>
      <c r="P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</row>
    <row r="49" spans="15:73">
      <c r="O49" s="106"/>
      <c r="P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</row>
    <row r="50" spans="15:73">
      <c r="O50" s="106"/>
      <c r="P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</row>
    <row r="51" spans="15:73">
      <c r="O51" s="106"/>
      <c r="P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</row>
    <row r="52" spans="15:73">
      <c r="O52" s="106"/>
      <c r="P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</row>
    <row r="53" spans="15:73">
      <c r="O53" s="106"/>
      <c r="P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</row>
    <row r="54" spans="15:73">
      <c r="O54" s="106"/>
      <c r="P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</row>
    <row r="55" spans="15:73">
      <c r="O55" s="106"/>
      <c r="P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</row>
    <row r="56" spans="15:73">
      <c r="O56" s="106"/>
      <c r="P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</row>
    <row r="57" spans="15:73">
      <c r="O57" s="106"/>
      <c r="P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</row>
    <row r="58" spans="15:73">
      <c r="O58" s="106"/>
      <c r="P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</row>
    <row r="59" spans="15:73">
      <c r="O59" s="106"/>
      <c r="P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</row>
    <row r="60" spans="15:73">
      <c r="O60" s="106"/>
      <c r="P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</row>
    <row r="61" spans="15:73">
      <c r="O61" s="106"/>
      <c r="P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</row>
    <row r="62" spans="15:73">
      <c r="O62" s="106"/>
      <c r="P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</row>
    <row r="63" spans="15:73">
      <c r="O63" s="106"/>
      <c r="P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</row>
    <row r="64" spans="15:73">
      <c r="O64" s="106"/>
      <c r="P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</row>
    <row r="65" spans="15:73">
      <c r="O65" s="106"/>
      <c r="P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</row>
    <row r="66" spans="15:73">
      <c r="O66" s="106"/>
      <c r="P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</row>
    <row r="67" spans="15:73">
      <c r="O67" s="106"/>
      <c r="P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</row>
    <row r="68" spans="15:73">
      <c r="O68" s="106"/>
      <c r="P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</row>
    <row r="69" spans="15:73"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</row>
    <row r="70" spans="15:73"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</row>
    <row r="71" spans="15:73"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</row>
    <row r="72" spans="15:73"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</row>
    <row r="73" spans="15:73"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</row>
    <row r="74" spans="15:73"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</row>
    <row r="75" spans="15:73"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</row>
    <row r="76" spans="15:73"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</row>
    <row r="77" spans="15:73"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</row>
    <row r="78" spans="15:73"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</row>
    <row r="79" spans="15:73"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</row>
    <row r="80" spans="15:73"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</row>
    <row r="81" spans="15:73"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</row>
    <row r="82" spans="15:73"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</row>
    <row r="83" spans="15:73"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</row>
    <row r="84" spans="15:73"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</row>
    <row r="85" spans="15:73"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</row>
    <row r="86" spans="15:73"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</row>
    <row r="87" spans="15:73"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</row>
    <row r="88" spans="15:73"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</row>
    <row r="89" spans="15:73"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</row>
    <row r="90" spans="15:73"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</row>
    <row r="91" spans="15:73"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</row>
    <row r="92" spans="15:73"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</row>
    <row r="93" spans="15:73"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</row>
    <row r="94" spans="15:73"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</row>
    <row r="95" spans="15:73"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</row>
    <row r="96" spans="15:73"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</row>
    <row r="97" spans="15:73"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</row>
    <row r="98" spans="15:73"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</row>
    <row r="99" spans="15:73"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</row>
    <row r="100" spans="15:73"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</row>
    <row r="101" spans="15:73"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</row>
    <row r="102" spans="15:73"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</row>
    <row r="103" spans="15:73"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</row>
    <row r="104" spans="15:73"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</row>
    <row r="105" spans="15:73"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</row>
    <row r="106" spans="15:73"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</row>
    <row r="107" spans="15:73"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</row>
    <row r="108" spans="15:73"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</row>
    <row r="109" spans="15:73"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</row>
    <row r="110" spans="15:73"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</row>
    <row r="111" spans="15:73"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</row>
    <row r="112" spans="15:73"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</row>
    <row r="113" spans="15:73"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</row>
    <row r="114" spans="15:73"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</row>
    <row r="115" spans="15:73"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</row>
    <row r="116" spans="15:73"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</row>
    <row r="117" spans="15:73"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</row>
    <row r="118" spans="15:73"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</row>
    <row r="119" spans="15:73"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</row>
    <row r="120" spans="15:73"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</row>
    <row r="121" spans="15:73"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</row>
    <row r="122" spans="15:73"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</row>
    <row r="123" spans="15:73"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</row>
    <row r="124" spans="15:73"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</row>
    <row r="125" spans="15:73"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</row>
    <row r="126" spans="15:73"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</row>
    <row r="127" spans="15:73"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</row>
    <row r="128" spans="15:73"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</row>
    <row r="129" spans="15:73"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</row>
    <row r="130" spans="15:73"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</row>
    <row r="131" spans="15:73"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</row>
    <row r="132" spans="15:73"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</row>
    <row r="133" spans="15:73"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</row>
    <row r="134" spans="15:73"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</row>
    <row r="135" spans="15:73"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</row>
    <row r="136" spans="15:73"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</row>
    <row r="137" spans="15:73"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</row>
    <row r="138" spans="15:73"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</row>
    <row r="139" spans="15:73"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</row>
    <row r="140" spans="15:73"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</row>
    <row r="141" spans="15:73"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</row>
    <row r="142" spans="15:73"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</row>
    <row r="143" spans="15:73"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</row>
    <row r="144" spans="15:73"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</row>
    <row r="145" spans="15:73"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</row>
    <row r="146" spans="15:73"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</row>
    <row r="147" spans="15:73"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</row>
    <row r="148" spans="15:73"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</row>
    <row r="149" spans="15:73"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</row>
    <row r="150" spans="15:73"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</row>
    <row r="151" spans="15:73"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</row>
    <row r="152" spans="15:73"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</row>
    <row r="153" spans="15:73"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</row>
    <row r="154" spans="15:73"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</row>
    <row r="155" spans="15:73"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</row>
    <row r="156" spans="15:73"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</row>
    <row r="157" spans="15:73"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</row>
    <row r="158" spans="15:73"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</row>
    <row r="159" spans="15:73"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</row>
    <row r="160" spans="15:73"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</row>
    <row r="161" spans="15:73"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</row>
    <row r="162" spans="15:73"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</row>
    <row r="163" spans="15:73"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</row>
    <row r="164" spans="15:73"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</row>
    <row r="165" spans="15:73"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</row>
    <row r="166" spans="15:73"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</row>
    <row r="167" spans="15:73"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</row>
    <row r="168" spans="15:73"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</row>
    <row r="169" spans="15:73"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</row>
    <row r="170" spans="15:73"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</row>
    <row r="171" spans="15:73"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</row>
    <row r="172" spans="15:73"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</row>
    <row r="173" spans="15:73"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</row>
    <row r="174" spans="15:73"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</row>
    <row r="175" spans="15:73"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</row>
    <row r="176" spans="15:73"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</row>
    <row r="177" spans="15:73"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</row>
    <row r="178" spans="15:73"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</row>
    <row r="179" spans="15:73"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</row>
    <row r="180" spans="15:73"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</row>
    <row r="181" spans="15:73"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</row>
    <row r="182" spans="15:73"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</row>
    <row r="183" spans="15:73"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</row>
    <row r="184" spans="15:73"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</row>
    <row r="185" spans="15:73"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</row>
    <row r="186" spans="15:73"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</row>
    <row r="187" spans="15:73"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</row>
    <row r="188" spans="15:73"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</row>
    <row r="189" spans="15:73"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</row>
    <row r="190" spans="15:73"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</row>
    <row r="191" spans="15:73"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</row>
    <row r="192" spans="15:73"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</row>
    <row r="193" spans="15:73"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</row>
    <row r="194" spans="15:73"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</row>
    <row r="195" spans="15:73"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</row>
    <row r="196" spans="15:73"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</row>
    <row r="197" spans="15:73"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</row>
    <row r="198" spans="15:73"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</row>
    <row r="199" spans="15:73"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</row>
    <row r="200" spans="15:73"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</row>
    <row r="201" spans="15:73"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</row>
    <row r="202" spans="15:73"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</row>
    <row r="203" spans="15:73"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</row>
    <row r="204" spans="15:73"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</row>
    <row r="205" spans="15:73"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</row>
    <row r="206" spans="15:73"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</row>
    <row r="207" spans="15:73"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</row>
    <row r="208" spans="15:73"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</row>
    <row r="209" spans="15:73"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</row>
    <row r="210" spans="15:73"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</row>
    <row r="211" spans="15:73"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</row>
    <row r="212" spans="15:73"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</row>
    <row r="213" spans="15:73"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</row>
    <row r="214" spans="15:73"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</row>
    <row r="215" spans="15:73"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</row>
    <row r="216" spans="15:73"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</row>
    <row r="217" spans="15:73"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</row>
    <row r="218" spans="15:73"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</row>
    <row r="219" spans="15:73"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</row>
    <row r="220" spans="15:73"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</row>
    <row r="221" spans="15:73"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</row>
    <row r="222" spans="15:73"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</row>
    <row r="223" spans="15:73"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</row>
    <row r="224" spans="15:73"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</row>
    <row r="225" spans="15:73"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</row>
    <row r="226" spans="15:73"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</row>
    <row r="227" spans="15:73"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</row>
    <row r="228" spans="15:73"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</row>
    <row r="229" spans="15:73"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</row>
    <row r="230" spans="15:73"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</row>
    <row r="231" spans="15:73"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6"/>
      <c r="BU231" s="106"/>
    </row>
    <row r="232" spans="15:73"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</row>
    <row r="233" spans="15:73"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</row>
    <row r="234" spans="15:73"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  <c r="BU234" s="106"/>
    </row>
    <row r="235" spans="15:73"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  <c r="BU235" s="106"/>
    </row>
    <row r="236" spans="15:73"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</row>
    <row r="237" spans="15:73"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</row>
    <row r="238" spans="15:73"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</row>
    <row r="239" spans="15:73"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</row>
    <row r="240" spans="15:73"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</row>
    <row r="241" spans="15:73"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</row>
    <row r="242" spans="15:73"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6"/>
      <c r="BS242" s="106"/>
      <c r="BT242" s="106"/>
      <c r="BU242" s="106"/>
    </row>
    <row r="243" spans="15:73"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6"/>
      <c r="BQ243" s="106"/>
      <c r="BR243" s="106"/>
      <c r="BS243" s="106"/>
      <c r="BT243" s="106"/>
      <c r="BU243" s="106"/>
    </row>
    <row r="244" spans="15:73"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</row>
    <row r="245" spans="15:73"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</row>
    <row r="246" spans="15:73"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</row>
    <row r="247" spans="15:73"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</row>
    <row r="248" spans="15:73"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</row>
    <row r="249" spans="15:73"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6"/>
      <c r="BU249" s="106"/>
    </row>
    <row r="250" spans="15:73"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</row>
    <row r="251" spans="15:73"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 s="106"/>
      <c r="BQ251" s="106"/>
      <c r="BR251" s="106"/>
      <c r="BS251" s="106"/>
      <c r="BT251" s="106"/>
      <c r="BU251" s="106"/>
    </row>
    <row r="252" spans="15:73"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</row>
    <row r="253" spans="15:73"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</row>
    <row r="254" spans="15:73"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 s="106"/>
      <c r="BQ254" s="106"/>
      <c r="BR254" s="106"/>
      <c r="BS254" s="106"/>
      <c r="BT254" s="106"/>
      <c r="BU254" s="106"/>
    </row>
    <row r="255" spans="15:73"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6"/>
      <c r="BU255" s="106"/>
    </row>
    <row r="256" spans="15:73"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6"/>
      <c r="BD256" s="106"/>
      <c r="BE256" s="106"/>
      <c r="BF256" s="106"/>
      <c r="BG256" s="106"/>
      <c r="BH256" s="106"/>
      <c r="BI256" s="106"/>
      <c r="BJ256" s="106"/>
      <c r="BK256" s="106"/>
      <c r="BL256" s="106"/>
      <c r="BM256" s="106"/>
      <c r="BN256" s="106"/>
      <c r="BO256" s="106"/>
      <c r="BP256" s="106"/>
      <c r="BQ256" s="106"/>
      <c r="BR256" s="106"/>
      <c r="BS256" s="106"/>
      <c r="BT256" s="106"/>
      <c r="BU256" s="106"/>
    </row>
    <row r="257" spans="15:73"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 s="106"/>
      <c r="BQ257" s="106"/>
      <c r="BR257" s="106"/>
      <c r="BS257" s="106"/>
      <c r="BT257" s="106"/>
      <c r="BU257" s="106"/>
    </row>
    <row r="258" spans="15:73"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 s="106"/>
      <c r="BQ258" s="106"/>
      <c r="BR258" s="106"/>
      <c r="BS258" s="106"/>
      <c r="BT258" s="106"/>
      <c r="BU258" s="106"/>
    </row>
    <row r="259" spans="15:73"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</row>
    <row r="260" spans="15:73"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</row>
    <row r="261" spans="15:73"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6"/>
      <c r="BU261" s="106"/>
    </row>
    <row r="262" spans="15:73"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106"/>
      <c r="BD262" s="106"/>
      <c r="BE262" s="106"/>
      <c r="BF262" s="106"/>
      <c r="BG262" s="106"/>
      <c r="BH262" s="106"/>
      <c r="BI262" s="106"/>
      <c r="BJ262" s="106"/>
      <c r="BK262" s="106"/>
      <c r="BL262" s="106"/>
      <c r="BM262" s="106"/>
      <c r="BN262" s="106"/>
      <c r="BO262" s="106"/>
      <c r="BP262" s="106"/>
      <c r="BQ262" s="106"/>
      <c r="BR262" s="106"/>
      <c r="BS262" s="106"/>
      <c r="BT262" s="106"/>
      <c r="BU262" s="106"/>
    </row>
    <row r="263" spans="15:73"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 s="106"/>
      <c r="BQ263" s="106"/>
      <c r="BR263" s="106"/>
      <c r="BS263" s="106"/>
      <c r="BT263" s="106"/>
      <c r="BU263" s="106"/>
    </row>
    <row r="264" spans="15:73"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6"/>
      <c r="BD264" s="106"/>
      <c r="BE264" s="106"/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 s="106"/>
      <c r="BQ264" s="106"/>
      <c r="BR264" s="106"/>
      <c r="BS264" s="106"/>
      <c r="BT264" s="106"/>
      <c r="BU264" s="106"/>
    </row>
    <row r="265" spans="15:73"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</row>
    <row r="266" spans="15:73"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</row>
    <row r="267" spans="15:73"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</row>
    <row r="268" spans="15:73"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6"/>
      <c r="BQ268" s="106"/>
      <c r="BR268" s="106"/>
      <c r="BS268" s="106"/>
      <c r="BT268" s="106"/>
      <c r="BU268" s="106"/>
    </row>
    <row r="269" spans="15:73"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6"/>
      <c r="BU269" s="106"/>
    </row>
    <row r="270" spans="15:73"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 s="106"/>
      <c r="BQ270" s="106"/>
      <c r="BR270" s="106"/>
      <c r="BS270" s="106"/>
      <c r="BT270" s="106"/>
      <c r="BU270" s="106"/>
    </row>
    <row r="271" spans="15:73"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 s="106"/>
      <c r="BQ271" s="106"/>
      <c r="BR271" s="106"/>
      <c r="BS271" s="106"/>
      <c r="BT271" s="106"/>
      <c r="BU271" s="106"/>
    </row>
    <row r="272" spans="15:73"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 s="106"/>
      <c r="BQ272" s="106"/>
      <c r="BR272" s="106"/>
      <c r="BS272" s="106"/>
      <c r="BT272" s="106"/>
      <c r="BU272" s="106"/>
    </row>
    <row r="273" spans="15:73"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</row>
    <row r="274" spans="15:73"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</row>
    <row r="275" spans="15:73"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6"/>
      <c r="BU275" s="106"/>
    </row>
    <row r="276" spans="15:73"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 s="106"/>
      <c r="BQ276" s="106"/>
      <c r="BR276" s="106"/>
      <c r="BS276" s="106"/>
      <c r="BT276" s="106"/>
      <c r="BU276" s="106"/>
    </row>
    <row r="277" spans="15:73"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 s="106"/>
      <c r="BQ277" s="106"/>
      <c r="BR277" s="106"/>
      <c r="BS277" s="106"/>
      <c r="BT277" s="106"/>
      <c r="BU277" s="106"/>
    </row>
    <row r="278" spans="15:73"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 s="106"/>
      <c r="BQ278" s="106"/>
      <c r="BR278" s="106"/>
      <c r="BS278" s="106"/>
      <c r="BT278" s="106"/>
      <c r="BU278" s="106"/>
    </row>
    <row r="279" spans="15:73"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</row>
    <row r="280" spans="15:73"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6"/>
      <c r="BQ280" s="106"/>
      <c r="BR280" s="106"/>
      <c r="BS280" s="106"/>
      <c r="BT280" s="106"/>
      <c r="BU280" s="106"/>
    </row>
    <row r="281" spans="15:73"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6"/>
      <c r="BQ281" s="106"/>
      <c r="BR281" s="106"/>
      <c r="BS281" s="106"/>
      <c r="BT281" s="106"/>
      <c r="BU281" s="106"/>
    </row>
    <row r="282" spans="15:73"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</row>
    <row r="283" spans="15:73"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6"/>
      <c r="BR283" s="106"/>
      <c r="BS283" s="106"/>
      <c r="BT283" s="106"/>
      <c r="BU283" s="106"/>
    </row>
    <row r="284" spans="15:73"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6"/>
      <c r="BQ284" s="106"/>
      <c r="BR284" s="106"/>
      <c r="BS284" s="106"/>
      <c r="BT284" s="106"/>
      <c r="BU284" s="106"/>
    </row>
    <row r="285" spans="15:73"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6"/>
      <c r="BQ285" s="106"/>
      <c r="BR285" s="106"/>
      <c r="BS285" s="106"/>
      <c r="BT285" s="106"/>
      <c r="BU285" s="106"/>
    </row>
    <row r="286" spans="15:73"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6"/>
      <c r="BQ286" s="106"/>
      <c r="BR286" s="106"/>
      <c r="BS286" s="106"/>
      <c r="BT286" s="106"/>
      <c r="BU286" s="106"/>
    </row>
    <row r="287" spans="15:73"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6"/>
      <c r="BQ287" s="106"/>
      <c r="BR287" s="106"/>
      <c r="BS287" s="106"/>
      <c r="BT287" s="106"/>
      <c r="BU287" s="106"/>
    </row>
    <row r="288" spans="15:73"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6"/>
      <c r="BQ288" s="106"/>
      <c r="BR288" s="106"/>
      <c r="BS288" s="106"/>
      <c r="BT288" s="106"/>
      <c r="BU288" s="106"/>
    </row>
    <row r="289" spans="15:73"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6"/>
      <c r="BQ289" s="106"/>
      <c r="BR289" s="106"/>
      <c r="BS289" s="106"/>
      <c r="BT289" s="106"/>
      <c r="BU289" s="106"/>
    </row>
    <row r="290" spans="15:73"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</row>
    <row r="291" spans="15:73"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6"/>
      <c r="BQ291" s="106"/>
      <c r="BR291" s="106"/>
      <c r="BS291" s="106"/>
      <c r="BT291" s="106"/>
      <c r="BU291" s="106"/>
    </row>
    <row r="292" spans="15:73"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</row>
    <row r="293" spans="15:73"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</row>
    <row r="294" spans="15:73"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6"/>
      <c r="BQ294" s="106"/>
      <c r="BR294" s="106"/>
      <c r="BS294" s="106"/>
      <c r="BT294" s="106"/>
      <c r="BU294" s="106"/>
    </row>
    <row r="295" spans="15:73"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6"/>
      <c r="BQ295" s="106"/>
      <c r="BR295" s="106"/>
      <c r="BS295" s="106"/>
      <c r="BT295" s="106"/>
      <c r="BU295" s="106"/>
    </row>
    <row r="296" spans="15:73"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6"/>
      <c r="BQ296" s="106"/>
      <c r="BR296" s="106"/>
      <c r="BS296" s="106"/>
      <c r="BT296" s="106"/>
      <c r="BU296" s="106"/>
    </row>
    <row r="297" spans="15:73"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 s="106"/>
      <c r="BQ297" s="106"/>
      <c r="BR297" s="106"/>
      <c r="BS297" s="106"/>
      <c r="BT297" s="106"/>
      <c r="BU297" s="106"/>
    </row>
    <row r="298" spans="15:73"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</row>
    <row r="299" spans="15:73"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 s="106"/>
      <c r="BQ299" s="106"/>
      <c r="BR299" s="106"/>
      <c r="BS299" s="106"/>
      <c r="BT299" s="106"/>
      <c r="BU299" s="106"/>
    </row>
    <row r="300" spans="15:73"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O300" s="106"/>
      <c r="BP300" s="106"/>
      <c r="BQ300" s="106"/>
      <c r="BR300" s="106"/>
      <c r="BS300" s="106"/>
      <c r="BT300" s="106"/>
      <c r="BU300" s="106"/>
    </row>
    <row r="301" spans="15:73"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O301" s="106"/>
      <c r="BP301" s="106"/>
      <c r="BQ301" s="106"/>
      <c r="BR301" s="106"/>
      <c r="BS301" s="106"/>
      <c r="BT301" s="106"/>
      <c r="BU301" s="106"/>
    </row>
    <row r="302" spans="15:73"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O302" s="106"/>
      <c r="BP302" s="106"/>
      <c r="BQ302" s="106"/>
      <c r="BR302" s="106"/>
      <c r="BS302" s="106"/>
      <c r="BT302" s="106"/>
      <c r="BU302" s="106"/>
    </row>
    <row r="303" spans="15:73"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 s="106"/>
      <c r="BQ303" s="106"/>
      <c r="BR303" s="106"/>
      <c r="BS303" s="106"/>
      <c r="BT303" s="106"/>
      <c r="BU303" s="106"/>
    </row>
    <row r="304" spans="15:73"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 s="106"/>
      <c r="BQ304" s="106"/>
      <c r="BR304" s="106"/>
      <c r="BS304" s="106"/>
      <c r="BT304" s="106"/>
      <c r="BU304" s="106"/>
    </row>
    <row r="305" spans="15:73"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 s="106"/>
      <c r="BQ305" s="106"/>
      <c r="BR305" s="106"/>
      <c r="BS305" s="106"/>
      <c r="BT305" s="106"/>
      <c r="BU305" s="106"/>
    </row>
    <row r="306" spans="15:73"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O306" s="106"/>
      <c r="BP306" s="106"/>
      <c r="BQ306" s="106"/>
      <c r="BR306" s="106"/>
      <c r="BS306" s="106"/>
      <c r="BT306" s="106"/>
      <c r="BU306" s="106"/>
    </row>
    <row r="307" spans="15:73"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</row>
    <row r="308" spans="15:73"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O308" s="106"/>
      <c r="BP308" s="106"/>
      <c r="BQ308" s="106"/>
      <c r="BR308" s="106"/>
      <c r="BS308" s="106"/>
      <c r="BT308" s="106"/>
      <c r="BU308" s="106"/>
    </row>
    <row r="309" spans="15:73"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O309" s="106"/>
      <c r="BP309" s="106"/>
      <c r="BQ309" s="106"/>
      <c r="BR309" s="106"/>
      <c r="BS309" s="106"/>
      <c r="BT309" s="106"/>
      <c r="BU309" s="106"/>
    </row>
    <row r="310" spans="15:73"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O310" s="106"/>
      <c r="BP310" s="106"/>
      <c r="BQ310" s="106"/>
      <c r="BR310" s="106"/>
      <c r="BS310" s="106"/>
      <c r="BT310" s="106"/>
      <c r="BU310" s="106"/>
    </row>
    <row r="311" spans="15:73"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O311" s="106"/>
      <c r="BP311" s="106"/>
      <c r="BQ311" s="106"/>
      <c r="BR311" s="106"/>
      <c r="BS311" s="106"/>
      <c r="BT311" s="106"/>
      <c r="BU311" s="106"/>
    </row>
    <row r="312" spans="15:73"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 s="106"/>
      <c r="BQ312" s="106"/>
      <c r="BR312" s="106"/>
      <c r="BS312" s="106"/>
      <c r="BT312" s="106"/>
      <c r="BU312" s="106"/>
    </row>
    <row r="313" spans="15:73"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106"/>
      <c r="BN313" s="106"/>
      <c r="BO313" s="106"/>
      <c r="BP313" s="106"/>
      <c r="BQ313" s="106"/>
      <c r="BR313" s="106"/>
      <c r="BS313" s="106"/>
      <c r="BT313" s="106"/>
      <c r="BU313" s="106"/>
    </row>
    <row r="314" spans="15:73"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6"/>
      <c r="BR314" s="106"/>
      <c r="BS314" s="106"/>
      <c r="BT314" s="106"/>
      <c r="BU314" s="106"/>
    </row>
    <row r="315" spans="15:73"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 s="106"/>
      <c r="BQ315" s="106"/>
      <c r="BR315" s="106"/>
      <c r="BS315" s="106"/>
      <c r="BT315" s="106"/>
      <c r="BU315" s="106"/>
    </row>
    <row r="316" spans="15:73"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</row>
    <row r="317" spans="15:73"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 s="106"/>
      <c r="BQ317" s="106"/>
      <c r="BR317" s="106"/>
      <c r="BS317" s="106"/>
      <c r="BT317" s="106"/>
      <c r="BU317" s="106"/>
    </row>
    <row r="318" spans="15:73"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O318" s="106"/>
      <c r="BP318" s="106"/>
      <c r="BQ318" s="106"/>
      <c r="BR318" s="106"/>
      <c r="BS318" s="106"/>
      <c r="BT318" s="106"/>
      <c r="BU318" s="106"/>
    </row>
    <row r="319" spans="15:73"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O319" s="106"/>
      <c r="BP319" s="106"/>
      <c r="BQ319" s="106"/>
      <c r="BR319" s="106"/>
      <c r="BS319" s="106"/>
      <c r="BT319" s="106"/>
      <c r="BU319" s="106"/>
    </row>
    <row r="320" spans="15:73"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O320" s="106"/>
      <c r="BP320" s="106"/>
      <c r="BQ320" s="106"/>
      <c r="BR320" s="106"/>
      <c r="BS320" s="106"/>
      <c r="BT320" s="106"/>
      <c r="BU320" s="106"/>
    </row>
    <row r="321" spans="15:73"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6"/>
      <c r="BR321" s="106"/>
      <c r="BS321" s="106"/>
      <c r="BT321" s="106"/>
      <c r="BU321" s="106"/>
    </row>
    <row r="322" spans="15:73"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O322" s="106"/>
      <c r="BP322" s="106"/>
      <c r="BQ322" s="106"/>
      <c r="BR322" s="106"/>
      <c r="BS322" s="106"/>
      <c r="BT322" s="106"/>
      <c r="BU322" s="106"/>
    </row>
    <row r="323" spans="15:73"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O323" s="106"/>
      <c r="BP323" s="106"/>
      <c r="BQ323" s="106"/>
      <c r="BR323" s="106"/>
      <c r="BS323" s="106"/>
      <c r="BT323" s="106"/>
      <c r="BU323" s="106"/>
    </row>
    <row r="324" spans="15:73"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</row>
    <row r="325" spans="15:73"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 s="106"/>
      <c r="BQ325" s="106"/>
      <c r="BR325" s="106"/>
      <c r="BS325" s="106"/>
      <c r="BT325" s="106"/>
      <c r="BU325" s="106"/>
    </row>
    <row r="326" spans="15:73"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  <c r="BL326" s="106"/>
      <c r="BM326" s="106"/>
      <c r="BN326" s="106"/>
      <c r="BO326" s="106"/>
      <c r="BP326" s="106"/>
      <c r="BQ326" s="106"/>
      <c r="BR326" s="106"/>
      <c r="BS326" s="106"/>
      <c r="BT326" s="106"/>
      <c r="BU326" s="106"/>
    </row>
    <row r="327" spans="15:73"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 s="106"/>
      <c r="BQ327" s="106"/>
      <c r="BR327" s="106"/>
      <c r="BS327" s="106"/>
      <c r="BT327" s="106"/>
      <c r="BU327" s="106"/>
    </row>
    <row r="328" spans="15:73"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 s="106"/>
      <c r="BQ328" s="106"/>
      <c r="BR328" s="106"/>
      <c r="BS328" s="106"/>
      <c r="BT328" s="106"/>
      <c r="BU328" s="106"/>
    </row>
    <row r="329" spans="15:73"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</row>
    <row r="330" spans="15:73"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 s="106"/>
      <c r="BQ330" s="106"/>
      <c r="BR330" s="106"/>
      <c r="BS330" s="106"/>
      <c r="BT330" s="106"/>
      <c r="BU330" s="106"/>
    </row>
    <row r="331" spans="15:73"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 s="106"/>
      <c r="BQ331" s="106"/>
      <c r="BR331" s="106"/>
      <c r="BS331" s="106"/>
      <c r="BT331" s="106"/>
      <c r="BU331" s="106"/>
    </row>
    <row r="332" spans="15:73"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</row>
    <row r="333" spans="15:73"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  <c r="BL333" s="106"/>
      <c r="BM333" s="106"/>
      <c r="BN333" s="106"/>
      <c r="BO333" s="106"/>
      <c r="BP333" s="106"/>
      <c r="BQ333" s="106"/>
      <c r="BR333" s="106"/>
      <c r="BS333" s="106"/>
      <c r="BT333" s="106"/>
      <c r="BU333" s="106"/>
    </row>
    <row r="334" spans="15:73"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  <c r="BL334" s="106"/>
      <c r="BM334" s="106"/>
      <c r="BN334" s="106"/>
      <c r="BO334" s="106"/>
      <c r="BP334" s="106"/>
      <c r="BQ334" s="106"/>
      <c r="BR334" s="106"/>
      <c r="BS334" s="106"/>
      <c r="BT334" s="106"/>
      <c r="BU334" s="106"/>
    </row>
    <row r="335" spans="15:73"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O335" s="106"/>
      <c r="BP335" s="106"/>
      <c r="BQ335" s="106"/>
      <c r="BR335" s="106"/>
      <c r="BS335" s="106"/>
      <c r="BT335" s="106"/>
      <c r="BU335" s="106"/>
    </row>
    <row r="336" spans="15:73"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O336" s="106"/>
      <c r="BP336" s="106"/>
      <c r="BQ336" s="106"/>
      <c r="BR336" s="106"/>
      <c r="BS336" s="106"/>
      <c r="BT336" s="106"/>
      <c r="BU336" s="106"/>
    </row>
    <row r="337" spans="15:73"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O337" s="106"/>
      <c r="BP337" s="106"/>
      <c r="BQ337" s="106"/>
      <c r="BR337" s="106"/>
      <c r="BS337" s="106"/>
      <c r="BT337" s="106"/>
      <c r="BU337" s="106"/>
    </row>
    <row r="338" spans="15:73"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O338" s="106"/>
      <c r="BP338" s="106"/>
      <c r="BQ338" s="106"/>
      <c r="BR338" s="106"/>
      <c r="BS338" s="106"/>
      <c r="BT338" s="106"/>
      <c r="BU338" s="106"/>
    </row>
    <row r="339" spans="15:73"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  <c r="BL339" s="106"/>
      <c r="BM339" s="106"/>
      <c r="BN339" s="106"/>
      <c r="BO339" s="106"/>
      <c r="BP339" s="106"/>
      <c r="BQ339" s="106"/>
      <c r="BR339" s="106"/>
      <c r="BS339" s="106"/>
      <c r="BT339" s="106"/>
      <c r="BU339" s="106"/>
    </row>
    <row r="340" spans="15:73"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</row>
    <row r="341" spans="15:73"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 s="106"/>
      <c r="BQ341" s="106"/>
      <c r="BR341" s="106"/>
      <c r="BS341" s="106"/>
      <c r="BT341" s="106"/>
      <c r="BU341" s="106"/>
    </row>
    <row r="342" spans="15:73"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  <c r="BL342" s="106"/>
      <c r="BM342" s="106"/>
      <c r="BN342" s="106"/>
      <c r="BO342" s="106"/>
      <c r="BP342" s="106"/>
      <c r="BQ342" s="106"/>
      <c r="BR342" s="106"/>
      <c r="BS342" s="106"/>
      <c r="BT342" s="106"/>
      <c r="BU342" s="106"/>
    </row>
    <row r="343" spans="15:73"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O343" s="106"/>
      <c r="BP343" s="106"/>
      <c r="BQ343" s="106"/>
      <c r="BR343" s="106"/>
      <c r="BS343" s="106"/>
      <c r="BT343" s="106"/>
      <c r="BU343" s="106"/>
    </row>
    <row r="344" spans="15:73"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O344" s="106"/>
      <c r="BP344" s="106"/>
      <c r="BQ344" s="106"/>
      <c r="BR344" s="106"/>
      <c r="BS344" s="106"/>
      <c r="BT344" s="106"/>
      <c r="BU344" s="106"/>
    </row>
    <row r="345" spans="15:73"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6"/>
      <c r="BR345" s="106"/>
      <c r="BS345" s="106"/>
      <c r="BT345" s="106"/>
      <c r="BU345" s="106"/>
    </row>
    <row r="346" spans="15:73"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 s="106"/>
      <c r="BQ346" s="106"/>
      <c r="BR346" s="106"/>
      <c r="BS346" s="106"/>
      <c r="BT346" s="106"/>
      <c r="BU346" s="106"/>
    </row>
    <row r="347" spans="15:73"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 s="106"/>
      <c r="BQ347" s="106"/>
      <c r="BR347" s="106"/>
      <c r="BS347" s="106"/>
      <c r="BT347" s="106"/>
      <c r="BU347" s="106"/>
    </row>
    <row r="348" spans="15:73"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  <c r="BL348" s="106"/>
      <c r="BM348" s="106"/>
      <c r="BN348" s="106"/>
      <c r="BO348" s="106"/>
      <c r="BP348" s="106"/>
      <c r="BQ348" s="106"/>
      <c r="BR348" s="106"/>
      <c r="BS348" s="106"/>
      <c r="BT348" s="106"/>
      <c r="BU348" s="106"/>
    </row>
    <row r="349" spans="15:73"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  <c r="BL349" s="106"/>
      <c r="BM349" s="106"/>
      <c r="BN349" s="106"/>
      <c r="BO349" s="106"/>
      <c r="BP349" s="106"/>
      <c r="BQ349" s="106"/>
      <c r="BR349" s="106"/>
      <c r="BS349" s="106"/>
      <c r="BT349" s="106"/>
      <c r="BU349" s="106"/>
    </row>
    <row r="350" spans="15:73"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  <c r="BL350" s="106"/>
      <c r="BM350" s="106"/>
      <c r="BN350" s="106"/>
      <c r="BO350" s="106"/>
      <c r="BP350" s="106"/>
      <c r="BQ350" s="106"/>
      <c r="BR350" s="106"/>
      <c r="BS350" s="106"/>
      <c r="BT350" s="106"/>
      <c r="BU350" s="106"/>
    </row>
    <row r="351" spans="15:73"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  <c r="BL351" s="106"/>
      <c r="BM351" s="106"/>
      <c r="BN351" s="106"/>
      <c r="BO351" s="106"/>
      <c r="BP351" s="106"/>
      <c r="BQ351" s="106"/>
      <c r="BR351" s="106"/>
      <c r="BS351" s="106"/>
      <c r="BT351" s="106"/>
      <c r="BU351" s="106"/>
    </row>
    <row r="352" spans="15:73"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6"/>
      <c r="BR352" s="106"/>
      <c r="BS352" s="106"/>
      <c r="BT352" s="106"/>
      <c r="BU352" s="106"/>
    </row>
    <row r="353" spans="15:73"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  <c r="BL353" s="106"/>
      <c r="BM353" s="106"/>
      <c r="BN353" s="106"/>
      <c r="BO353" s="106"/>
      <c r="BP353" s="106"/>
      <c r="BQ353" s="106"/>
      <c r="BR353" s="106"/>
      <c r="BS353" s="106"/>
      <c r="BT353" s="106"/>
      <c r="BU353" s="106"/>
    </row>
    <row r="354" spans="15:73"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 s="106"/>
      <c r="BQ354" s="106"/>
      <c r="BR354" s="106"/>
      <c r="BS354" s="106"/>
      <c r="BT354" s="106"/>
      <c r="BU354" s="106"/>
    </row>
    <row r="355" spans="15:73"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  <c r="BL355" s="106"/>
      <c r="BM355" s="106"/>
      <c r="BN355" s="106"/>
      <c r="BO355" s="106"/>
      <c r="BP355" s="106"/>
      <c r="BQ355" s="106"/>
      <c r="BR355" s="106"/>
      <c r="BS355" s="106"/>
      <c r="BT355" s="106"/>
      <c r="BU355" s="106"/>
    </row>
    <row r="356" spans="15:73"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  <c r="BL356" s="106"/>
      <c r="BM356" s="106"/>
      <c r="BN356" s="106"/>
      <c r="BO356" s="106"/>
      <c r="BP356" s="106"/>
      <c r="BQ356" s="106"/>
      <c r="BR356" s="106"/>
      <c r="BS356" s="106"/>
      <c r="BT356" s="106"/>
      <c r="BU356" s="106"/>
    </row>
    <row r="357" spans="15:73"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  <c r="BL357" s="106"/>
      <c r="BM357" s="106"/>
      <c r="BN357" s="106"/>
      <c r="BO357" s="106"/>
      <c r="BP357" s="106"/>
      <c r="BQ357" s="106"/>
      <c r="BR357" s="106"/>
      <c r="BS357" s="106"/>
      <c r="BT357" s="106"/>
      <c r="BU357" s="106"/>
    </row>
    <row r="358" spans="15:73"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  <c r="BL358" s="106"/>
      <c r="BM358" s="106"/>
      <c r="BN358" s="106"/>
      <c r="BO358" s="106"/>
      <c r="BP358" s="106"/>
      <c r="BQ358" s="106"/>
      <c r="BR358" s="106"/>
      <c r="BS358" s="106"/>
      <c r="BT358" s="106"/>
      <c r="BU358" s="106"/>
    </row>
    <row r="359" spans="15:73"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  <c r="BL359" s="106"/>
      <c r="BM359" s="106"/>
      <c r="BN359" s="106"/>
      <c r="BO359" s="106"/>
      <c r="BP359" s="106"/>
      <c r="BQ359" s="106"/>
      <c r="BR359" s="106"/>
      <c r="BS359" s="106"/>
      <c r="BT359" s="106"/>
      <c r="BU359" s="106"/>
    </row>
    <row r="360" spans="15:73"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  <c r="BL360" s="106"/>
      <c r="BM360" s="106"/>
      <c r="BN360" s="106"/>
      <c r="BO360" s="106"/>
      <c r="BP360" s="106"/>
      <c r="BQ360" s="106"/>
      <c r="BR360" s="106"/>
      <c r="BS360" s="106"/>
      <c r="BT360" s="106"/>
      <c r="BU360" s="106"/>
    </row>
    <row r="361" spans="15:73"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 s="106"/>
      <c r="BQ361" s="106"/>
      <c r="BR361" s="106"/>
      <c r="BS361" s="106"/>
      <c r="BT361" s="106"/>
      <c r="BU361" s="106"/>
    </row>
    <row r="362" spans="15:73"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  <c r="BL362" s="106"/>
      <c r="BM362" s="106"/>
      <c r="BN362" s="106"/>
      <c r="BO362" s="106"/>
      <c r="BP362" s="106"/>
      <c r="BQ362" s="106"/>
      <c r="BR362" s="106"/>
      <c r="BS362" s="106"/>
      <c r="BT362" s="106"/>
      <c r="BU362" s="106"/>
    </row>
    <row r="363" spans="15:73"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  <c r="BL363" s="106"/>
      <c r="BM363" s="106"/>
      <c r="BN363" s="106"/>
      <c r="BO363" s="106"/>
      <c r="BP363" s="106"/>
      <c r="BQ363" s="106"/>
      <c r="BR363" s="106"/>
      <c r="BS363" s="106"/>
      <c r="BT363" s="106"/>
      <c r="BU363" s="106"/>
    </row>
    <row r="364" spans="15:73"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  <c r="BL364" s="106"/>
      <c r="BM364" s="106"/>
      <c r="BN364" s="106"/>
      <c r="BO364" s="106"/>
      <c r="BP364" s="106"/>
      <c r="BQ364" s="106"/>
      <c r="BR364" s="106"/>
      <c r="BS364" s="106"/>
      <c r="BT364" s="106"/>
      <c r="BU364" s="106"/>
    </row>
    <row r="365" spans="15:73"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  <c r="BL365" s="106"/>
      <c r="BM365" s="106"/>
      <c r="BN365" s="106"/>
      <c r="BO365" s="106"/>
      <c r="BP365" s="106"/>
      <c r="BQ365" s="106"/>
      <c r="BR365" s="106"/>
      <c r="BS365" s="106"/>
      <c r="BT365" s="106"/>
      <c r="BU365" s="106"/>
    </row>
    <row r="366" spans="15:73"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  <c r="BL366" s="106"/>
      <c r="BM366" s="106"/>
      <c r="BN366" s="106"/>
      <c r="BO366" s="106"/>
      <c r="BP366" s="106"/>
      <c r="BQ366" s="106"/>
      <c r="BR366" s="106"/>
      <c r="BS366" s="106"/>
      <c r="BT366" s="106"/>
      <c r="BU366" s="106"/>
    </row>
    <row r="367" spans="15:73"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  <c r="BL367" s="106"/>
      <c r="BM367" s="106"/>
      <c r="BN367" s="106"/>
      <c r="BO367" s="106"/>
      <c r="BP367" s="106"/>
      <c r="BQ367" s="106"/>
      <c r="BR367" s="106"/>
      <c r="BS367" s="106"/>
      <c r="BT367" s="106"/>
      <c r="BU367" s="106"/>
    </row>
    <row r="368" spans="15:73"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 s="106"/>
      <c r="BQ368" s="106"/>
      <c r="BR368" s="106"/>
      <c r="BS368" s="106"/>
      <c r="BT368" s="106"/>
      <c r="BU368" s="106"/>
    </row>
    <row r="369" spans="15:73"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</row>
    <row r="370" spans="15:73"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 s="106"/>
      <c r="BQ370" s="106"/>
      <c r="BR370" s="106"/>
      <c r="BS370" s="106"/>
      <c r="BT370" s="106"/>
      <c r="BU370" s="106"/>
    </row>
    <row r="371" spans="15:73"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 s="106"/>
      <c r="BQ371" s="106"/>
      <c r="BR371" s="106"/>
      <c r="BS371" s="106"/>
      <c r="BT371" s="106"/>
      <c r="BU371" s="106"/>
    </row>
    <row r="372" spans="15:73"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 s="106"/>
      <c r="BQ372" s="106"/>
      <c r="BR372" s="106"/>
      <c r="BS372" s="106"/>
      <c r="BT372" s="106"/>
      <c r="BU372" s="106"/>
    </row>
    <row r="373" spans="15:73"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 s="106"/>
      <c r="BQ373" s="106"/>
      <c r="BR373" s="106"/>
      <c r="BS373" s="106"/>
      <c r="BT373" s="106"/>
      <c r="BU373" s="106"/>
    </row>
    <row r="374" spans="15:73"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  <c r="BL374" s="106"/>
      <c r="BM374" s="106"/>
      <c r="BN374" s="106"/>
      <c r="BO374" s="106"/>
      <c r="BP374" s="106"/>
      <c r="BQ374" s="106"/>
      <c r="BR374" s="106"/>
      <c r="BS374" s="106"/>
      <c r="BT374" s="106"/>
      <c r="BU374" s="106"/>
    </row>
    <row r="375" spans="15:73"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  <c r="BL375" s="106"/>
      <c r="BM375" s="106"/>
      <c r="BN375" s="106"/>
      <c r="BO375" s="106"/>
      <c r="BP375" s="106"/>
      <c r="BQ375" s="106"/>
      <c r="BR375" s="106"/>
      <c r="BS375" s="106"/>
      <c r="BT375" s="106"/>
      <c r="BU375" s="106"/>
    </row>
    <row r="376" spans="15:73"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  <c r="BL376" s="106"/>
      <c r="BM376" s="106"/>
      <c r="BN376" s="106"/>
      <c r="BO376" s="106"/>
      <c r="BP376" s="106"/>
      <c r="BQ376" s="106"/>
      <c r="BR376" s="106"/>
      <c r="BS376" s="106"/>
      <c r="BT376" s="106"/>
      <c r="BU376" s="106"/>
    </row>
    <row r="377" spans="15:73"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</row>
    <row r="378" spans="15:73"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  <c r="BL378" s="106"/>
      <c r="BM378" s="106"/>
      <c r="BN378" s="106"/>
      <c r="BO378" s="106"/>
      <c r="BP378" s="106"/>
      <c r="BQ378" s="106"/>
      <c r="BR378" s="106"/>
      <c r="BS378" s="106"/>
      <c r="BT378" s="106"/>
      <c r="BU378" s="106"/>
    </row>
    <row r="379" spans="15:73"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  <c r="BL379" s="106"/>
      <c r="BM379" s="106"/>
      <c r="BN379" s="106"/>
      <c r="BO379" s="106"/>
      <c r="BP379" s="106"/>
      <c r="BQ379" s="106"/>
      <c r="BR379" s="106"/>
      <c r="BS379" s="106"/>
      <c r="BT379" s="106"/>
      <c r="BU379" s="106"/>
    </row>
    <row r="380" spans="15:73"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  <c r="BL380" s="106"/>
      <c r="BM380" s="106"/>
      <c r="BN380" s="106"/>
      <c r="BO380" s="106"/>
      <c r="BP380" s="106"/>
      <c r="BQ380" s="106"/>
      <c r="BR380" s="106"/>
      <c r="BS380" s="106"/>
      <c r="BT380" s="106"/>
      <c r="BU380" s="106"/>
    </row>
    <row r="381" spans="15:73"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 s="106"/>
      <c r="BQ381" s="106"/>
      <c r="BR381" s="106"/>
      <c r="BS381" s="106"/>
      <c r="BT381" s="106"/>
      <c r="BU381" s="106"/>
    </row>
    <row r="382" spans="15:73"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  <c r="BL382" s="106"/>
      <c r="BM382" s="106"/>
      <c r="BN382" s="106"/>
      <c r="BO382" s="106"/>
      <c r="BP382" s="106"/>
      <c r="BQ382" s="106"/>
      <c r="BR382" s="106"/>
      <c r="BS382" s="106"/>
      <c r="BT382" s="106"/>
      <c r="BU382" s="106"/>
    </row>
    <row r="383" spans="15:73"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  <c r="BL383" s="106"/>
      <c r="BM383" s="106"/>
      <c r="BN383" s="106"/>
      <c r="BO383" s="106"/>
      <c r="BP383" s="106"/>
      <c r="BQ383" s="106"/>
      <c r="BR383" s="106"/>
      <c r="BS383" s="106"/>
      <c r="BT383" s="106"/>
      <c r="BU383" s="106"/>
    </row>
    <row r="384" spans="15:73"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</row>
    <row r="385" spans="15:73"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O385" s="106"/>
      <c r="BP385" s="106"/>
      <c r="BQ385" s="106"/>
      <c r="BR385" s="106"/>
      <c r="BS385" s="106"/>
      <c r="BT385" s="106"/>
      <c r="BU385" s="106"/>
    </row>
    <row r="386" spans="15:73"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O386" s="106"/>
      <c r="BP386" s="106"/>
      <c r="BQ386" s="106"/>
      <c r="BR386" s="106"/>
      <c r="BS386" s="106"/>
      <c r="BT386" s="106"/>
      <c r="BU386" s="106"/>
    </row>
    <row r="387" spans="15:73"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  <c r="BL387" s="106"/>
      <c r="BM387" s="106"/>
      <c r="BN387" s="106"/>
      <c r="BO387" s="106"/>
      <c r="BP387" s="106"/>
      <c r="BQ387" s="106"/>
      <c r="BR387" s="106"/>
      <c r="BS387" s="106"/>
      <c r="BT387" s="106"/>
      <c r="BU387" s="106"/>
    </row>
    <row r="388" spans="15:73"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O388" s="106"/>
      <c r="BP388" s="106"/>
      <c r="BQ388" s="106"/>
      <c r="BR388" s="106"/>
      <c r="BS388" s="106"/>
      <c r="BT388" s="106"/>
      <c r="BU388" s="106"/>
    </row>
    <row r="389" spans="15:73"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O389" s="106"/>
      <c r="BP389" s="106"/>
      <c r="BQ389" s="106"/>
      <c r="BR389" s="106"/>
      <c r="BS389" s="106"/>
      <c r="BT389" s="106"/>
      <c r="BU389" s="106"/>
    </row>
    <row r="390" spans="15:73"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 s="106"/>
      <c r="BQ390" s="106"/>
      <c r="BR390" s="106"/>
      <c r="BS390" s="106"/>
      <c r="BT390" s="106"/>
      <c r="BU390" s="106"/>
    </row>
    <row r="391" spans="15:73"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</row>
    <row r="392" spans="15:73"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O392" s="106"/>
      <c r="BP392" s="106"/>
      <c r="BQ392" s="106"/>
      <c r="BR392" s="106"/>
      <c r="BS392" s="106"/>
      <c r="BT392" s="106"/>
      <c r="BU392" s="106"/>
    </row>
    <row r="393" spans="15:73"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 s="106"/>
      <c r="BQ393" s="106"/>
      <c r="BR393" s="106"/>
      <c r="BS393" s="106"/>
      <c r="BT393" s="106"/>
      <c r="BU393" s="106"/>
    </row>
    <row r="394" spans="15:73"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O394" s="106"/>
      <c r="BP394" s="106"/>
      <c r="BQ394" s="106"/>
      <c r="BR394" s="106"/>
      <c r="BS394" s="106"/>
      <c r="BT394" s="106"/>
      <c r="BU394" s="106"/>
    </row>
    <row r="395" spans="15:73"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  <c r="AZ395" s="106"/>
      <c r="BA395" s="106"/>
      <c r="BB395" s="106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O395" s="106"/>
      <c r="BP395" s="106"/>
      <c r="BQ395" s="106"/>
      <c r="BR395" s="106"/>
      <c r="BS395" s="106"/>
      <c r="BT395" s="106"/>
      <c r="BU395" s="106"/>
    </row>
    <row r="396" spans="15:73"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6"/>
      <c r="AZ396" s="106"/>
      <c r="BA396" s="106"/>
      <c r="BB396" s="106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O396" s="106"/>
      <c r="BP396" s="106"/>
      <c r="BQ396" s="106"/>
      <c r="BR396" s="106"/>
      <c r="BS396" s="106"/>
      <c r="BT396" s="106"/>
      <c r="BU396" s="106"/>
    </row>
    <row r="397" spans="15:73"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6"/>
      <c r="AV397" s="106"/>
      <c r="AW397" s="106"/>
      <c r="AX397" s="106"/>
      <c r="AY397" s="106"/>
      <c r="AZ397" s="106"/>
      <c r="BA397" s="106"/>
      <c r="BB397" s="106"/>
      <c r="BC397" s="106"/>
      <c r="BD397" s="106"/>
      <c r="BE397" s="106"/>
      <c r="BF397" s="106"/>
      <c r="BG397" s="106"/>
      <c r="BH397" s="106"/>
      <c r="BI397" s="106"/>
      <c r="BJ397" s="106"/>
      <c r="BK397" s="106"/>
      <c r="BL397" s="106"/>
      <c r="BM397" s="106"/>
      <c r="BN397" s="106"/>
      <c r="BO397" s="106"/>
      <c r="BP397" s="106"/>
      <c r="BQ397" s="106"/>
      <c r="BR397" s="106"/>
      <c r="BS397" s="106"/>
      <c r="BT397" s="106"/>
      <c r="BU397" s="106"/>
    </row>
    <row r="398" spans="15:73"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06"/>
      <c r="AY398" s="106"/>
      <c r="AZ398" s="106"/>
      <c r="BA398" s="106"/>
      <c r="BB398" s="106"/>
      <c r="BC398" s="106"/>
      <c r="BD398" s="106"/>
      <c r="BE398" s="106"/>
      <c r="BF398" s="106"/>
      <c r="BG398" s="106"/>
      <c r="BH398" s="106"/>
      <c r="BI398" s="106"/>
      <c r="BJ398" s="106"/>
      <c r="BK398" s="106"/>
      <c r="BL398" s="106"/>
      <c r="BM398" s="106"/>
      <c r="BN398" s="106"/>
      <c r="BO398" s="106"/>
      <c r="BP398" s="106"/>
      <c r="BQ398" s="106"/>
      <c r="BR398" s="106"/>
      <c r="BS398" s="106"/>
      <c r="BT398" s="106"/>
      <c r="BU398" s="106"/>
    </row>
    <row r="399" spans="15:73"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  <c r="AZ399" s="106"/>
      <c r="BA399" s="106"/>
      <c r="BB399" s="106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O399" s="106"/>
      <c r="BP399" s="106"/>
      <c r="BQ399" s="106"/>
      <c r="BR399" s="106"/>
      <c r="BS399" s="106"/>
      <c r="BT399" s="106"/>
      <c r="BU399" s="106"/>
    </row>
    <row r="400" spans="15:73"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  <c r="BB400" s="106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O400" s="106"/>
      <c r="BP400" s="106"/>
      <c r="BQ400" s="106"/>
      <c r="BR400" s="106"/>
      <c r="BS400" s="106"/>
      <c r="BT400" s="106"/>
      <c r="BU400" s="106"/>
    </row>
    <row r="401" spans="15:73"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6"/>
      <c r="BA401" s="106"/>
      <c r="BB401" s="106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O401" s="106"/>
      <c r="BP401" s="106"/>
      <c r="BQ401" s="106"/>
      <c r="BR401" s="106"/>
      <c r="BS401" s="106"/>
      <c r="BT401" s="106"/>
      <c r="BU401" s="106"/>
    </row>
    <row r="402" spans="15:73"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6"/>
      <c r="BA402" s="106"/>
      <c r="BB402" s="106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O402" s="106"/>
      <c r="BP402" s="106"/>
      <c r="BQ402" s="106"/>
      <c r="BR402" s="106"/>
      <c r="BS402" s="106"/>
      <c r="BT402" s="106"/>
      <c r="BU402" s="106"/>
    </row>
    <row r="403" spans="15:73"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O403" s="106"/>
      <c r="BP403" s="106"/>
      <c r="BQ403" s="106"/>
      <c r="BR403" s="106"/>
      <c r="BS403" s="106"/>
      <c r="BT403" s="106"/>
      <c r="BU403" s="106"/>
    </row>
    <row r="404" spans="15:73"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6"/>
      <c r="BB404" s="106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O404" s="106"/>
      <c r="BP404" s="106"/>
      <c r="BQ404" s="106"/>
      <c r="BR404" s="106"/>
      <c r="BS404" s="106"/>
      <c r="BT404" s="106"/>
      <c r="BU404" s="106"/>
    </row>
    <row r="405" spans="15:73"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6"/>
      <c r="BB405" s="106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O405" s="106"/>
      <c r="BP405" s="106"/>
      <c r="BQ405" s="106"/>
      <c r="BR405" s="106"/>
      <c r="BS405" s="106"/>
      <c r="BT405" s="106"/>
      <c r="BU405" s="106"/>
    </row>
    <row r="406" spans="15:73"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  <c r="BB406" s="106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O406" s="106"/>
      <c r="BP406" s="106"/>
      <c r="BQ406" s="106"/>
      <c r="BR406" s="106"/>
      <c r="BS406" s="106"/>
      <c r="BT406" s="106"/>
      <c r="BU406" s="106"/>
    </row>
    <row r="407" spans="15:73"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6"/>
      <c r="BB407" s="106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O407" s="106"/>
      <c r="BP407" s="106"/>
      <c r="BQ407" s="106"/>
      <c r="BR407" s="106"/>
      <c r="BS407" s="106"/>
      <c r="BT407" s="106"/>
      <c r="BU407" s="106"/>
    </row>
    <row r="408" spans="15:73"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6"/>
      <c r="BB408" s="106"/>
      <c r="BC408" s="106"/>
      <c r="BD408" s="106"/>
      <c r="BE408" s="106"/>
      <c r="BF408" s="106"/>
      <c r="BG408" s="106"/>
      <c r="BH408" s="106"/>
      <c r="BI408" s="106"/>
      <c r="BJ408" s="106"/>
      <c r="BK408" s="106"/>
      <c r="BL408" s="106"/>
      <c r="BM408" s="106"/>
      <c r="BN408" s="106"/>
      <c r="BO408" s="106"/>
      <c r="BP408" s="106"/>
      <c r="BQ408" s="106"/>
      <c r="BR408" s="106"/>
      <c r="BS408" s="106"/>
      <c r="BT408" s="106"/>
      <c r="BU408" s="106"/>
    </row>
    <row r="409" spans="15:73"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  <c r="AZ409" s="106"/>
      <c r="BA409" s="106"/>
      <c r="BB409" s="106"/>
      <c r="BC409" s="106"/>
      <c r="BD409" s="106"/>
      <c r="BE409" s="106"/>
      <c r="BF409" s="106"/>
      <c r="BG409" s="106"/>
      <c r="BH409" s="106"/>
      <c r="BI409" s="106"/>
      <c r="BJ409" s="106"/>
      <c r="BK409" s="106"/>
      <c r="BL409" s="106"/>
      <c r="BM409" s="106"/>
      <c r="BN409" s="106"/>
      <c r="BO409" s="106"/>
      <c r="BP409" s="106"/>
      <c r="BQ409" s="106"/>
      <c r="BR409" s="106"/>
      <c r="BS409" s="106"/>
      <c r="BT409" s="106"/>
      <c r="BU409" s="106"/>
    </row>
    <row r="410" spans="15:73"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  <c r="AZ410" s="106"/>
      <c r="BA410" s="106"/>
      <c r="BB410" s="106"/>
      <c r="BC410" s="106"/>
      <c r="BD410" s="106"/>
      <c r="BE410" s="106"/>
      <c r="BF410" s="106"/>
      <c r="BG410" s="106"/>
      <c r="BH410" s="106"/>
      <c r="BI410" s="106"/>
      <c r="BJ410" s="106"/>
      <c r="BK410" s="106"/>
      <c r="BL410" s="106"/>
      <c r="BM410" s="106"/>
      <c r="BN410" s="106"/>
      <c r="BO410" s="106"/>
      <c r="BP410" s="106"/>
      <c r="BQ410" s="106"/>
      <c r="BR410" s="106"/>
      <c r="BS410" s="106"/>
      <c r="BT410" s="106"/>
      <c r="BU410" s="106"/>
    </row>
    <row r="411" spans="15:73"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6"/>
      <c r="BA411" s="106"/>
      <c r="BB411" s="106"/>
      <c r="BC411" s="106"/>
      <c r="BD411" s="106"/>
      <c r="BE411" s="106"/>
      <c r="BF411" s="106"/>
      <c r="BG411" s="106"/>
      <c r="BH411" s="106"/>
      <c r="BI411" s="106"/>
      <c r="BJ411" s="106"/>
      <c r="BK411" s="106"/>
      <c r="BL411" s="106"/>
      <c r="BM411" s="106"/>
      <c r="BN411" s="106"/>
      <c r="BO411" s="106"/>
      <c r="BP411" s="106"/>
      <c r="BQ411" s="106"/>
      <c r="BR411" s="106"/>
      <c r="BS411" s="106"/>
      <c r="BT411" s="106"/>
      <c r="BU411" s="106"/>
    </row>
    <row r="412" spans="15:73"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6"/>
      <c r="BA412" s="106"/>
      <c r="BB412" s="106"/>
      <c r="BC412" s="106"/>
      <c r="BD412" s="106"/>
      <c r="BE412" s="106"/>
      <c r="BF412" s="106"/>
      <c r="BG412" s="106"/>
      <c r="BH412" s="106"/>
      <c r="BI412" s="106"/>
      <c r="BJ412" s="106"/>
      <c r="BK412" s="106"/>
      <c r="BL412" s="106"/>
      <c r="BM412" s="106"/>
      <c r="BN412" s="106"/>
      <c r="BO412" s="106"/>
      <c r="BP412" s="106"/>
      <c r="BQ412" s="106"/>
      <c r="BR412" s="106"/>
      <c r="BS412" s="106"/>
      <c r="BT412" s="106"/>
      <c r="BU412" s="106"/>
    </row>
    <row r="413" spans="15:73"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 s="106"/>
      <c r="BQ413" s="106"/>
      <c r="BR413" s="106"/>
      <c r="BS413" s="106"/>
      <c r="BT413" s="106"/>
      <c r="BU413" s="106"/>
    </row>
    <row r="414" spans="15:73"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6"/>
      <c r="BA414" s="106"/>
      <c r="BB414" s="106"/>
      <c r="BC414" s="106"/>
      <c r="BD414" s="106"/>
      <c r="BE414" s="106"/>
      <c r="BF414" s="106"/>
      <c r="BG414" s="106"/>
      <c r="BH414" s="106"/>
      <c r="BI414" s="106"/>
      <c r="BJ414" s="106"/>
      <c r="BK414" s="106"/>
      <c r="BL414" s="106"/>
      <c r="BM414" s="106"/>
      <c r="BN414" s="106"/>
      <c r="BO414" s="106"/>
      <c r="BP414" s="106"/>
      <c r="BQ414" s="106"/>
      <c r="BR414" s="106"/>
      <c r="BS414" s="106"/>
      <c r="BT414" s="106"/>
      <c r="BU414" s="106"/>
    </row>
    <row r="415" spans="15:73"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6"/>
      <c r="BB415" s="106"/>
      <c r="BC415" s="106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106"/>
      <c r="BN415" s="106"/>
      <c r="BO415" s="106"/>
      <c r="BP415" s="106"/>
      <c r="BQ415" s="106"/>
      <c r="BR415" s="106"/>
      <c r="BS415" s="106"/>
      <c r="BT415" s="106"/>
      <c r="BU415" s="106"/>
    </row>
    <row r="416" spans="15:73"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  <c r="AZ416" s="106"/>
      <c r="BA416" s="106"/>
      <c r="BB416" s="106"/>
      <c r="BC416" s="106"/>
      <c r="BD416" s="106"/>
      <c r="BE416" s="106"/>
      <c r="BF416" s="106"/>
      <c r="BG416" s="106"/>
      <c r="BH416" s="106"/>
      <c r="BI416" s="106"/>
      <c r="BJ416" s="106"/>
      <c r="BK416" s="106"/>
      <c r="BL416" s="106"/>
      <c r="BM416" s="106"/>
      <c r="BN416" s="106"/>
      <c r="BO416" s="106"/>
      <c r="BP416" s="106"/>
      <c r="BQ416" s="106"/>
      <c r="BR416" s="106"/>
      <c r="BS416" s="106"/>
      <c r="BT416" s="106"/>
      <c r="BU416" s="106"/>
    </row>
    <row r="417" spans="15:73"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  <c r="BB417" s="106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 s="106"/>
      <c r="BQ417" s="106"/>
      <c r="BR417" s="106"/>
      <c r="BS417" s="106"/>
      <c r="BT417" s="106"/>
      <c r="BU417" s="106"/>
    </row>
    <row r="418" spans="15:73"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6"/>
      <c r="BB418" s="106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O418" s="106"/>
      <c r="BP418" s="106"/>
      <c r="BQ418" s="106"/>
      <c r="BR418" s="106"/>
      <c r="BS418" s="106"/>
      <c r="BT418" s="106"/>
      <c r="BU418" s="106"/>
    </row>
    <row r="419" spans="15:73"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  <c r="AZ419" s="106"/>
      <c r="BA419" s="106"/>
      <c r="BB419" s="106"/>
      <c r="BC419" s="106"/>
      <c r="BD419" s="106"/>
      <c r="BE419" s="106"/>
      <c r="BF419" s="106"/>
      <c r="BG419" s="106"/>
      <c r="BH419" s="106"/>
      <c r="BI419" s="106"/>
      <c r="BJ419" s="106"/>
      <c r="BK419" s="106"/>
      <c r="BL419" s="106"/>
      <c r="BM419" s="106"/>
      <c r="BN419" s="106"/>
      <c r="BO419" s="106"/>
      <c r="BP419" s="106"/>
      <c r="BQ419" s="106"/>
      <c r="BR419" s="106"/>
      <c r="BS419" s="106"/>
      <c r="BT419" s="106"/>
      <c r="BU419" s="106"/>
    </row>
    <row r="420" spans="15:73"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6"/>
      <c r="BB420" s="106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O420" s="106"/>
      <c r="BP420" s="106"/>
      <c r="BQ420" s="106"/>
      <c r="BR420" s="106"/>
      <c r="BS420" s="106"/>
      <c r="BT420" s="106"/>
      <c r="BU420" s="106"/>
    </row>
    <row r="421" spans="15:73"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6"/>
      <c r="BB421" s="106"/>
      <c r="BC421" s="106"/>
      <c r="BD421" s="106"/>
      <c r="BE421" s="106"/>
      <c r="BF421" s="106"/>
      <c r="BG421" s="106"/>
      <c r="BH421" s="106"/>
      <c r="BI421" s="106"/>
      <c r="BJ421" s="106"/>
      <c r="BK421" s="106"/>
      <c r="BL421" s="106"/>
      <c r="BM421" s="106"/>
      <c r="BN421" s="106"/>
      <c r="BO421" s="106"/>
      <c r="BP421" s="106"/>
      <c r="BQ421" s="106"/>
      <c r="BR421" s="106"/>
      <c r="BS421" s="106"/>
      <c r="BT421" s="106"/>
      <c r="BU421" s="106"/>
    </row>
    <row r="422" spans="15:73"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  <c r="AZ422" s="106"/>
      <c r="BA422" s="106"/>
      <c r="BB422" s="106"/>
      <c r="BC422" s="106"/>
      <c r="BD422" s="106"/>
      <c r="BE422" s="106"/>
      <c r="BF422" s="106"/>
      <c r="BG422" s="106"/>
      <c r="BH422" s="106"/>
      <c r="BI422" s="106"/>
      <c r="BJ422" s="106"/>
      <c r="BK422" s="106"/>
      <c r="BL422" s="106"/>
      <c r="BM422" s="106"/>
      <c r="BN422" s="106"/>
      <c r="BO422" s="106"/>
      <c r="BP422" s="106"/>
      <c r="BQ422" s="106"/>
      <c r="BR422" s="106"/>
      <c r="BS422" s="106"/>
      <c r="BT422" s="106"/>
      <c r="BU422" s="106"/>
    </row>
    <row r="423" spans="15:73"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  <c r="AZ423" s="106"/>
      <c r="BA423" s="106"/>
      <c r="BB423" s="106"/>
      <c r="BC423" s="106"/>
      <c r="BD423" s="106"/>
      <c r="BE423" s="106"/>
      <c r="BF423" s="106"/>
      <c r="BG423" s="106"/>
      <c r="BH423" s="106"/>
      <c r="BI423" s="106"/>
      <c r="BJ423" s="106"/>
      <c r="BK423" s="106"/>
      <c r="BL423" s="106"/>
      <c r="BM423" s="106"/>
      <c r="BN423" s="106"/>
      <c r="BO423" s="106"/>
      <c r="BP423" s="106"/>
      <c r="BQ423" s="106"/>
      <c r="BR423" s="106"/>
      <c r="BS423" s="106"/>
      <c r="BT423" s="106"/>
      <c r="BU423" s="106"/>
    </row>
    <row r="424" spans="15:73"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6"/>
      <c r="BB424" s="106"/>
      <c r="BC424" s="106"/>
      <c r="BD424" s="106"/>
      <c r="BE424" s="106"/>
      <c r="BF424" s="106"/>
      <c r="BG424" s="106"/>
      <c r="BH424" s="106"/>
      <c r="BI424" s="106"/>
      <c r="BJ424" s="106"/>
      <c r="BK424" s="106"/>
      <c r="BL424" s="106"/>
      <c r="BM424" s="106"/>
      <c r="BN424" s="106"/>
      <c r="BO424" s="106"/>
      <c r="BP424" s="106"/>
      <c r="BQ424" s="106"/>
      <c r="BR424" s="106"/>
      <c r="BS424" s="106"/>
      <c r="BT424" s="106"/>
      <c r="BU424" s="106"/>
    </row>
    <row r="425" spans="15:73"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  <c r="AZ425" s="106"/>
      <c r="BA425" s="106"/>
      <c r="BB425" s="106"/>
      <c r="BC425" s="106"/>
      <c r="BD425" s="106"/>
      <c r="BE425" s="106"/>
      <c r="BF425" s="106"/>
      <c r="BG425" s="106"/>
      <c r="BH425" s="106"/>
      <c r="BI425" s="106"/>
      <c r="BJ425" s="106"/>
      <c r="BK425" s="106"/>
      <c r="BL425" s="106"/>
      <c r="BM425" s="106"/>
      <c r="BN425" s="106"/>
      <c r="BO425" s="106"/>
      <c r="BP425" s="106"/>
      <c r="BQ425" s="106"/>
      <c r="BR425" s="106"/>
      <c r="BS425" s="106"/>
      <c r="BT425" s="106"/>
      <c r="BU425" s="106"/>
    </row>
    <row r="426" spans="15:73"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6"/>
      <c r="BB426" s="106"/>
      <c r="BC426" s="106"/>
      <c r="BD426" s="106"/>
      <c r="BE426" s="106"/>
      <c r="BF426" s="106"/>
      <c r="BG426" s="106"/>
      <c r="BH426" s="106"/>
      <c r="BI426" s="106"/>
      <c r="BJ426" s="106"/>
      <c r="BK426" s="106"/>
      <c r="BL426" s="106"/>
      <c r="BM426" s="106"/>
      <c r="BN426" s="106"/>
      <c r="BO426" s="106"/>
      <c r="BP426" s="106"/>
      <c r="BQ426" s="106"/>
      <c r="BR426" s="106"/>
      <c r="BS426" s="106"/>
      <c r="BT426" s="106"/>
      <c r="BU426" s="106"/>
    </row>
    <row r="427" spans="15:73"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6"/>
      <c r="BB427" s="106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O427" s="106"/>
      <c r="BP427" s="106"/>
      <c r="BQ427" s="106"/>
      <c r="BR427" s="106"/>
      <c r="BS427" s="106"/>
      <c r="BT427" s="106"/>
      <c r="BU427" s="106"/>
    </row>
    <row r="428" spans="15:73"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6"/>
      <c r="BB428" s="106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O428" s="106"/>
      <c r="BP428" s="106"/>
      <c r="BQ428" s="106"/>
      <c r="BR428" s="106"/>
      <c r="BS428" s="106"/>
      <c r="BT428" s="106"/>
      <c r="BU428" s="106"/>
    </row>
    <row r="429" spans="15:73"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 s="106"/>
      <c r="BQ429" s="106"/>
      <c r="BR429" s="106"/>
      <c r="BS429" s="106"/>
      <c r="BT429" s="106"/>
      <c r="BU429" s="106"/>
    </row>
    <row r="430" spans="15:73"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  <c r="AZ430" s="106"/>
      <c r="BA430" s="106"/>
      <c r="BB430" s="106"/>
      <c r="BC430" s="106"/>
      <c r="BD430" s="106"/>
      <c r="BE430" s="106"/>
      <c r="BF430" s="106"/>
      <c r="BG430" s="106"/>
      <c r="BH430" s="106"/>
      <c r="BI430" s="106"/>
      <c r="BJ430" s="106"/>
      <c r="BK430" s="106"/>
      <c r="BL430" s="106"/>
      <c r="BM430" s="106"/>
      <c r="BN430" s="106"/>
      <c r="BO430" s="106"/>
      <c r="BP430" s="106"/>
      <c r="BQ430" s="106"/>
      <c r="BR430" s="106"/>
      <c r="BS430" s="106"/>
      <c r="BT430" s="106"/>
      <c r="BU430" s="106"/>
    </row>
    <row r="431" spans="15:73"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6"/>
      <c r="BB431" s="106"/>
      <c r="BC431" s="106"/>
      <c r="BD431" s="106"/>
      <c r="BE431" s="106"/>
      <c r="BF431" s="106"/>
      <c r="BG431" s="106"/>
      <c r="BH431" s="106"/>
      <c r="BI431" s="106"/>
      <c r="BJ431" s="106"/>
      <c r="BK431" s="106"/>
      <c r="BL431" s="106"/>
      <c r="BM431" s="106"/>
      <c r="BN431" s="106"/>
      <c r="BO431" s="106"/>
      <c r="BP431" s="106"/>
      <c r="BQ431" s="106"/>
      <c r="BR431" s="106"/>
      <c r="BS431" s="106"/>
      <c r="BT431" s="106"/>
      <c r="BU431" s="106"/>
    </row>
    <row r="432" spans="15:73"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6"/>
      <c r="BB432" s="106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O432" s="106"/>
      <c r="BP432" s="106"/>
      <c r="BQ432" s="106"/>
      <c r="BR432" s="106"/>
      <c r="BS432" s="106"/>
      <c r="BT432" s="106"/>
      <c r="BU432" s="106"/>
    </row>
    <row r="433" spans="15:73"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  <c r="AZ433" s="106"/>
      <c r="BA433" s="106"/>
      <c r="BB433" s="106"/>
      <c r="BC433" s="106"/>
      <c r="BD433" s="106"/>
      <c r="BE433" s="106"/>
      <c r="BF433" s="106"/>
      <c r="BG433" s="106"/>
      <c r="BH433" s="106"/>
      <c r="BI433" s="106"/>
      <c r="BJ433" s="106"/>
      <c r="BK433" s="106"/>
      <c r="BL433" s="106"/>
      <c r="BM433" s="106"/>
      <c r="BN433" s="106"/>
      <c r="BO433" s="106"/>
      <c r="BP433" s="106"/>
      <c r="BQ433" s="106"/>
      <c r="BR433" s="106"/>
      <c r="BS433" s="106"/>
      <c r="BT433" s="106"/>
      <c r="BU433" s="106"/>
    </row>
    <row r="434" spans="15:73"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  <c r="AZ434" s="106"/>
      <c r="BA434" s="106"/>
      <c r="BB434" s="106"/>
      <c r="BC434" s="106"/>
      <c r="BD434" s="106"/>
      <c r="BE434" s="106"/>
      <c r="BF434" s="106"/>
      <c r="BG434" s="106"/>
      <c r="BH434" s="106"/>
      <c r="BI434" s="106"/>
      <c r="BJ434" s="106"/>
      <c r="BK434" s="106"/>
      <c r="BL434" s="106"/>
      <c r="BM434" s="106"/>
      <c r="BN434" s="106"/>
      <c r="BO434" s="106"/>
      <c r="BP434" s="106"/>
      <c r="BQ434" s="106"/>
      <c r="BR434" s="106"/>
      <c r="BS434" s="106"/>
      <c r="BT434" s="106"/>
      <c r="BU434" s="106"/>
    </row>
    <row r="435" spans="15:73"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  <c r="AZ435" s="106"/>
      <c r="BA435" s="106"/>
      <c r="BB435" s="106"/>
      <c r="BC435" s="106"/>
      <c r="BD435" s="106"/>
      <c r="BE435" s="106"/>
      <c r="BF435" s="106"/>
      <c r="BG435" s="106"/>
      <c r="BH435" s="106"/>
      <c r="BI435" s="106"/>
      <c r="BJ435" s="106"/>
      <c r="BK435" s="106"/>
      <c r="BL435" s="106"/>
      <c r="BM435" s="106"/>
      <c r="BN435" s="106"/>
      <c r="BO435" s="106"/>
      <c r="BP435" s="106"/>
      <c r="BQ435" s="106"/>
      <c r="BR435" s="106"/>
      <c r="BS435" s="106"/>
      <c r="BT435" s="106"/>
      <c r="BU435" s="106"/>
    </row>
    <row r="436" spans="15:73"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  <c r="AZ436" s="106"/>
      <c r="BA436" s="106"/>
      <c r="BB436" s="106"/>
      <c r="BC436" s="106"/>
      <c r="BD436" s="106"/>
      <c r="BE436" s="106"/>
      <c r="BF436" s="106"/>
      <c r="BG436" s="106"/>
      <c r="BH436" s="106"/>
      <c r="BI436" s="106"/>
      <c r="BJ436" s="106"/>
      <c r="BK436" s="106"/>
      <c r="BL436" s="106"/>
      <c r="BM436" s="106"/>
      <c r="BN436" s="106"/>
      <c r="BO436" s="106"/>
      <c r="BP436" s="106"/>
      <c r="BQ436" s="106"/>
      <c r="BR436" s="106"/>
      <c r="BS436" s="106"/>
      <c r="BT436" s="106"/>
      <c r="BU436" s="106"/>
    </row>
    <row r="437" spans="15:73"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106"/>
      <c r="AY437" s="106"/>
      <c r="AZ437" s="106"/>
      <c r="BA437" s="106"/>
      <c r="BB437" s="106"/>
      <c r="BC437" s="106"/>
      <c r="BD437" s="106"/>
      <c r="BE437" s="106"/>
      <c r="BF437" s="106"/>
      <c r="BG437" s="106"/>
      <c r="BH437" s="106"/>
      <c r="BI437" s="106"/>
      <c r="BJ437" s="106"/>
      <c r="BK437" s="106"/>
      <c r="BL437" s="106"/>
      <c r="BM437" s="106"/>
      <c r="BN437" s="106"/>
      <c r="BO437" s="106"/>
      <c r="BP437" s="106"/>
      <c r="BQ437" s="106"/>
      <c r="BR437" s="106"/>
      <c r="BS437" s="106"/>
      <c r="BT437" s="106"/>
      <c r="BU437" s="106"/>
    </row>
    <row r="438" spans="15:73"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  <c r="AZ438" s="106"/>
      <c r="BA438" s="106"/>
      <c r="BB438" s="106"/>
      <c r="BC438" s="106"/>
      <c r="BD438" s="106"/>
      <c r="BE438" s="106"/>
      <c r="BF438" s="106"/>
      <c r="BG438" s="106"/>
      <c r="BH438" s="106"/>
      <c r="BI438" s="106"/>
      <c r="BJ438" s="106"/>
      <c r="BK438" s="106"/>
      <c r="BL438" s="106"/>
      <c r="BM438" s="106"/>
      <c r="BN438" s="106"/>
      <c r="BO438" s="106"/>
      <c r="BP438" s="106"/>
      <c r="BQ438" s="106"/>
      <c r="BR438" s="106"/>
      <c r="BS438" s="106"/>
      <c r="BT438" s="106"/>
      <c r="BU438" s="106"/>
    </row>
    <row r="439" spans="15:73"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  <c r="AZ439" s="106"/>
      <c r="BA439" s="106"/>
      <c r="BB439" s="106"/>
      <c r="BC439" s="106"/>
      <c r="BD439" s="106"/>
      <c r="BE439" s="106"/>
      <c r="BF439" s="106"/>
      <c r="BG439" s="106"/>
      <c r="BH439" s="106"/>
      <c r="BI439" s="106"/>
      <c r="BJ439" s="106"/>
      <c r="BK439" s="106"/>
      <c r="BL439" s="106"/>
      <c r="BM439" s="106"/>
      <c r="BN439" s="106"/>
      <c r="BO439" s="106"/>
      <c r="BP439" s="106"/>
      <c r="BQ439" s="106"/>
      <c r="BR439" s="106"/>
      <c r="BS439" s="106"/>
      <c r="BT439" s="106"/>
      <c r="BU439" s="106"/>
    </row>
    <row r="440" spans="15:73"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6"/>
      <c r="AV440" s="106"/>
      <c r="AW440" s="106"/>
      <c r="AX440" s="106"/>
      <c r="AY440" s="106"/>
      <c r="AZ440" s="106"/>
      <c r="BA440" s="106"/>
      <c r="BB440" s="106"/>
      <c r="BC440" s="106"/>
      <c r="BD440" s="106"/>
      <c r="BE440" s="106"/>
      <c r="BF440" s="106"/>
      <c r="BG440" s="106"/>
      <c r="BH440" s="106"/>
      <c r="BI440" s="106"/>
      <c r="BJ440" s="106"/>
      <c r="BK440" s="106"/>
      <c r="BL440" s="106"/>
      <c r="BM440" s="106"/>
      <c r="BN440" s="106"/>
      <c r="BO440" s="106"/>
      <c r="BP440" s="106"/>
      <c r="BQ440" s="106"/>
      <c r="BR440" s="106"/>
      <c r="BS440" s="106"/>
      <c r="BT440" s="106"/>
      <c r="BU440" s="106"/>
    </row>
    <row r="441" spans="15:73"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6"/>
      <c r="AV441" s="106"/>
      <c r="AW441" s="106"/>
      <c r="AX441" s="106"/>
      <c r="AY441" s="106"/>
      <c r="AZ441" s="106"/>
      <c r="BA441" s="106"/>
      <c r="BB441" s="106"/>
      <c r="BC441" s="106"/>
      <c r="BD441" s="106"/>
      <c r="BE441" s="106"/>
      <c r="BF441" s="106"/>
      <c r="BG441" s="106"/>
      <c r="BH441" s="106"/>
      <c r="BI441" s="106"/>
      <c r="BJ441" s="106"/>
      <c r="BK441" s="106"/>
      <c r="BL441" s="106"/>
      <c r="BM441" s="106"/>
      <c r="BN441" s="106"/>
      <c r="BO441" s="106"/>
      <c r="BP441" s="106"/>
      <c r="BQ441" s="106"/>
      <c r="BR441" s="106"/>
      <c r="BS441" s="106"/>
      <c r="BT441" s="106"/>
      <c r="BU441" s="106"/>
    </row>
    <row r="442" spans="15:73"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6"/>
      <c r="AV442" s="106"/>
      <c r="AW442" s="106"/>
      <c r="AX442" s="106"/>
      <c r="AY442" s="106"/>
      <c r="AZ442" s="106"/>
      <c r="BA442" s="106"/>
      <c r="BB442" s="106"/>
      <c r="BC442" s="106"/>
      <c r="BD442" s="106"/>
      <c r="BE442" s="106"/>
      <c r="BF442" s="106"/>
      <c r="BG442" s="106"/>
      <c r="BH442" s="106"/>
      <c r="BI442" s="106"/>
      <c r="BJ442" s="106"/>
      <c r="BK442" s="106"/>
      <c r="BL442" s="106"/>
      <c r="BM442" s="106"/>
      <c r="BN442" s="106"/>
      <c r="BO442" s="106"/>
      <c r="BP442" s="106"/>
      <c r="BQ442" s="106"/>
      <c r="BR442" s="106"/>
      <c r="BS442" s="106"/>
      <c r="BT442" s="106"/>
      <c r="BU442" s="106"/>
    </row>
    <row r="443" spans="15:73"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6"/>
      <c r="BB443" s="106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O443" s="106"/>
      <c r="BP443" s="106"/>
      <c r="BQ443" s="106"/>
      <c r="BR443" s="106"/>
      <c r="BS443" s="106"/>
      <c r="BT443" s="106"/>
      <c r="BU443" s="106"/>
    </row>
    <row r="444" spans="15:73"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  <c r="BB444" s="106"/>
      <c r="BC444" s="106"/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 s="106"/>
      <c r="BQ444" s="106"/>
      <c r="BR444" s="106"/>
      <c r="BS444" s="106"/>
      <c r="BT444" s="106"/>
      <c r="BU444" s="106"/>
    </row>
    <row r="445" spans="15:73"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  <c r="AZ445" s="106"/>
      <c r="BA445" s="106"/>
      <c r="BB445" s="106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O445" s="106"/>
      <c r="BP445" s="106"/>
      <c r="BQ445" s="106"/>
      <c r="BR445" s="106"/>
      <c r="BS445" s="106"/>
      <c r="BT445" s="106"/>
      <c r="BU445" s="106"/>
    </row>
    <row r="446" spans="15:73"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106"/>
      <c r="AY446" s="106"/>
      <c r="AZ446" s="106"/>
      <c r="BA446" s="106"/>
      <c r="BB446" s="106"/>
      <c r="BC446" s="106"/>
      <c r="BD446" s="106"/>
      <c r="BE446" s="106"/>
      <c r="BF446" s="106"/>
      <c r="BG446" s="106"/>
      <c r="BH446" s="106"/>
      <c r="BI446" s="106"/>
      <c r="BJ446" s="106"/>
      <c r="BK446" s="106"/>
      <c r="BL446" s="106"/>
      <c r="BM446" s="106"/>
      <c r="BN446" s="106"/>
      <c r="BO446" s="106"/>
      <c r="BP446" s="106"/>
      <c r="BQ446" s="106"/>
      <c r="BR446" s="106"/>
      <c r="BS446" s="106"/>
      <c r="BT446" s="106"/>
      <c r="BU446" s="106"/>
    </row>
    <row r="447" spans="15:73"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6"/>
      <c r="AV447" s="106"/>
      <c r="AW447" s="106"/>
      <c r="AX447" s="106"/>
      <c r="AY447" s="106"/>
      <c r="AZ447" s="106"/>
      <c r="BA447" s="106"/>
      <c r="BB447" s="106"/>
      <c r="BC447" s="106"/>
      <c r="BD447" s="106"/>
      <c r="BE447" s="106"/>
      <c r="BF447" s="106"/>
      <c r="BG447" s="106"/>
      <c r="BH447" s="106"/>
      <c r="BI447" s="106"/>
      <c r="BJ447" s="106"/>
      <c r="BK447" s="106"/>
      <c r="BL447" s="106"/>
      <c r="BM447" s="106"/>
      <c r="BN447" s="106"/>
      <c r="BO447" s="106"/>
      <c r="BP447" s="106"/>
      <c r="BQ447" s="106"/>
      <c r="BR447" s="106"/>
      <c r="BS447" s="106"/>
      <c r="BT447" s="106"/>
      <c r="BU447" s="106"/>
    </row>
    <row r="448" spans="15:73"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6"/>
      <c r="BB448" s="106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 s="106"/>
      <c r="BQ448" s="106"/>
      <c r="BR448" s="106"/>
      <c r="BS448" s="106"/>
      <c r="BT448" s="106"/>
      <c r="BU448" s="106"/>
    </row>
    <row r="449" spans="15:73"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6"/>
      <c r="BB449" s="106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O449" s="106"/>
      <c r="BP449" s="106"/>
      <c r="BQ449" s="106"/>
      <c r="BR449" s="106"/>
      <c r="BS449" s="106"/>
      <c r="BT449" s="106"/>
      <c r="BU449" s="106"/>
    </row>
    <row r="450" spans="15:73"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  <c r="AZ450" s="106"/>
      <c r="BA450" s="106"/>
      <c r="BB450" s="106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O450" s="106"/>
      <c r="BP450" s="106"/>
      <c r="BQ450" s="106"/>
      <c r="BR450" s="106"/>
      <c r="BS450" s="106"/>
      <c r="BT450" s="106"/>
      <c r="BU450" s="106"/>
    </row>
    <row r="451" spans="15:73"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  <c r="AZ451" s="106"/>
      <c r="BA451" s="106"/>
      <c r="BB451" s="106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O451" s="106"/>
      <c r="BP451" s="106"/>
      <c r="BQ451" s="106"/>
      <c r="BR451" s="106"/>
      <c r="BS451" s="106"/>
      <c r="BT451" s="106"/>
      <c r="BU451" s="106"/>
    </row>
    <row r="452" spans="15:73"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  <c r="AZ452" s="106"/>
      <c r="BA452" s="106"/>
      <c r="BB452" s="106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O452" s="106"/>
      <c r="BP452" s="106"/>
      <c r="BQ452" s="106"/>
      <c r="BR452" s="106"/>
      <c r="BS452" s="106"/>
      <c r="BT452" s="106"/>
      <c r="BU452" s="106"/>
    </row>
    <row r="453" spans="15:73"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  <c r="BB453" s="106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O453" s="106"/>
      <c r="BP453" s="106"/>
      <c r="BQ453" s="106"/>
      <c r="BR453" s="106"/>
      <c r="BS453" s="106"/>
      <c r="BT453" s="106"/>
      <c r="BU453" s="106"/>
    </row>
    <row r="454" spans="15:73"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  <c r="BB454" s="106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O454" s="106"/>
      <c r="BP454" s="106"/>
      <c r="BQ454" s="106"/>
      <c r="BR454" s="106"/>
      <c r="BS454" s="106"/>
      <c r="BT454" s="106"/>
      <c r="BU454" s="106"/>
    </row>
    <row r="455" spans="15:73"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  <c r="AZ455" s="106"/>
      <c r="BA455" s="106"/>
      <c r="BB455" s="106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O455" s="106"/>
      <c r="BP455" s="106"/>
      <c r="BQ455" s="106"/>
      <c r="BR455" s="106"/>
      <c r="BS455" s="106"/>
      <c r="BT455" s="106"/>
      <c r="BU455" s="106"/>
    </row>
    <row r="456" spans="15:73"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  <c r="BB456" s="106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 s="106"/>
      <c r="BQ456" s="106"/>
      <c r="BR456" s="106"/>
      <c r="BS456" s="106"/>
      <c r="BT456" s="106"/>
      <c r="BU456" s="106"/>
    </row>
    <row r="457" spans="15:73"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  <c r="AZ457" s="106"/>
      <c r="BA457" s="106"/>
      <c r="BB457" s="106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 s="106"/>
      <c r="BQ457" s="106"/>
      <c r="BR457" s="106"/>
      <c r="BS457" s="106"/>
      <c r="BT457" s="106"/>
      <c r="BU457" s="106"/>
    </row>
    <row r="458" spans="15:73"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 s="106"/>
      <c r="BQ458" s="106"/>
      <c r="BR458" s="106"/>
      <c r="BS458" s="106"/>
      <c r="BT458" s="106"/>
      <c r="BU458" s="106"/>
    </row>
    <row r="459" spans="15:73"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  <c r="AZ459" s="106"/>
      <c r="BA459" s="106"/>
      <c r="BB459" s="106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 s="106"/>
      <c r="BQ459" s="106"/>
      <c r="BR459" s="106"/>
      <c r="BS459" s="106"/>
      <c r="BT459" s="106"/>
      <c r="BU459" s="106"/>
    </row>
    <row r="460" spans="15:73"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  <c r="BB460" s="106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 s="106"/>
      <c r="BQ460" s="106"/>
      <c r="BR460" s="106"/>
      <c r="BS460" s="106"/>
      <c r="BT460" s="106"/>
      <c r="BU460" s="106"/>
    </row>
    <row r="461" spans="15:73"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6"/>
      <c r="AV461" s="106"/>
      <c r="AW461" s="106"/>
      <c r="AX461" s="106"/>
      <c r="AY461" s="106"/>
      <c r="AZ461" s="106"/>
      <c r="BA461" s="106"/>
      <c r="BB461" s="106"/>
      <c r="BC461" s="106"/>
      <c r="BD461" s="106"/>
      <c r="BE461" s="106"/>
      <c r="BF461" s="106"/>
      <c r="BG461" s="106"/>
      <c r="BH461" s="106"/>
      <c r="BI461" s="106"/>
      <c r="BJ461" s="106"/>
      <c r="BK461" s="106"/>
      <c r="BL461" s="106"/>
      <c r="BM461" s="106"/>
      <c r="BN461" s="106"/>
      <c r="BO461" s="106"/>
      <c r="BP461" s="106"/>
      <c r="BQ461" s="106"/>
      <c r="BR461" s="106"/>
      <c r="BS461" s="106"/>
      <c r="BT461" s="106"/>
      <c r="BU461" s="106"/>
    </row>
    <row r="462" spans="15:73"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  <c r="AZ462" s="106"/>
      <c r="BA462" s="106"/>
      <c r="BB462" s="106"/>
      <c r="BC462" s="106"/>
      <c r="BD462" s="106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O462" s="106"/>
      <c r="BP462" s="106"/>
      <c r="BQ462" s="106"/>
      <c r="BR462" s="106"/>
      <c r="BS462" s="106"/>
      <c r="BT462" s="106"/>
      <c r="BU462" s="106"/>
    </row>
    <row r="463" spans="15:73"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  <c r="AZ463" s="106"/>
      <c r="BA463" s="106"/>
      <c r="BB463" s="106"/>
      <c r="BC463" s="106"/>
      <c r="BD463" s="106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O463" s="106"/>
      <c r="BP463" s="106"/>
      <c r="BQ463" s="106"/>
      <c r="BR463" s="106"/>
      <c r="BS463" s="106"/>
      <c r="BT463" s="106"/>
      <c r="BU463" s="106"/>
    </row>
    <row r="464" spans="15:73"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6"/>
      <c r="AV464" s="106"/>
      <c r="AW464" s="106"/>
      <c r="AX464" s="106"/>
      <c r="AY464" s="106"/>
      <c r="AZ464" s="106"/>
      <c r="BA464" s="106"/>
      <c r="BB464" s="106"/>
      <c r="BC464" s="106"/>
      <c r="BD464" s="106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O464" s="106"/>
      <c r="BP464" s="106"/>
      <c r="BQ464" s="106"/>
      <c r="BR464" s="106"/>
      <c r="BS464" s="106"/>
      <c r="BT464" s="106"/>
      <c r="BU464" s="106"/>
    </row>
    <row r="465" spans="15:73"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  <c r="BB465" s="106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 s="106"/>
      <c r="BQ465" s="106"/>
      <c r="BR465" s="106"/>
      <c r="BS465" s="106"/>
      <c r="BT465" s="106"/>
      <c r="BU465" s="106"/>
    </row>
    <row r="466" spans="15:73"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  <c r="AZ466" s="106"/>
      <c r="BA466" s="106"/>
      <c r="BB466" s="106"/>
      <c r="BC466" s="106"/>
      <c r="BD466" s="106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O466" s="106"/>
      <c r="BP466" s="106"/>
      <c r="BQ466" s="106"/>
      <c r="BR466" s="106"/>
      <c r="BS466" s="106"/>
      <c r="BT466" s="106"/>
      <c r="BU466" s="106"/>
    </row>
    <row r="467" spans="15:73"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6"/>
      <c r="BB467" s="106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 s="106"/>
      <c r="BQ467" s="106"/>
      <c r="BR467" s="106"/>
      <c r="BS467" s="106"/>
      <c r="BT467" s="106"/>
      <c r="BU467" s="106"/>
    </row>
    <row r="468" spans="15:73"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  <c r="BB468" s="106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O468" s="106"/>
      <c r="BP468" s="106"/>
      <c r="BQ468" s="106"/>
      <c r="BR468" s="106"/>
      <c r="BS468" s="106"/>
      <c r="BT468" s="106"/>
      <c r="BU468" s="106"/>
    </row>
    <row r="469" spans="15:73"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6"/>
      <c r="BB469" s="106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O469" s="106"/>
      <c r="BP469" s="106"/>
      <c r="BQ469" s="106"/>
      <c r="BR469" s="106"/>
      <c r="BS469" s="106"/>
      <c r="BT469" s="106"/>
      <c r="BU469" s="106"/>
    </row>
    <row r="470" spans="15:73"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6"/>
      <c r="BB470" s="106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O470" s="106"/>
      <c r="BP470" s="106"/>
      <c r="BQ470" s="106"/>
      <c r="BR470" s="106"/>
      <c r="BS470" s="106"/>
      <c r="BT470" s="106"/>
      <c r="BU470" s="106"/>
    </row>
    <row r="471" spans="15:73"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6"/>
      <c r="BA471" s="106"/>
      <c r="BB471" s="106"/>
      <c r="BC471" s="106"/>
      <c r="BD471" s="106"/>
      <c r="BE471" s="106"/>
      <c r="BF471" s="106"/>
      <c r="BG471" s="106"/>
      <c r="BH471" s="106"/>
      <c r="BI471" s="106"/>
      <c r="BJ471" s="106"/>
      <c r="BK471" s="106"/>
      <c r="BL471" s="106"/>
      <c r="BM471" s="106"/>
      <c r="BN471" s="106"/>
      <c r="BO471" s="106"/>
      <c r="BP471" s="106"/>
      <c r="BQ471" s="106"/>
      <c r="BR471" s="106"/>
      <c r="BS471" s="106"/>
      <c r="BT471" s="106"/>
      <c r="BU471" s="106"/>
    </row>
    <row r="472" spans="15:73"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  <c r="BB472" s="106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 s="106"/>
      <c r="BQ472" s="106"/>
      <c r="BR472" s="106"/>
      <c r="BS472" s="106"/>
      <c r="BT472" s="106"/>
      <c r="BU472" s="106"/>
    </row>
    <row r="473" spans="15:73"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  <c r="BB473" s="106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O473" s="106"/>
      <c r="BP473" s="106"/>
      <c r="BQ473" s="106"/>
      <c r="BR473" s="106"/>
      <c r="BS473" s="106"/>
      <c r="BT473" s="106"/>
      <c r="BU473" s="106"/>
    </row>
    <row r="474" spans="15:73"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  <c r="BB474" s="106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 s="106"/>
      <c r="BQ474" s="106"/>
      <c r="BR474" s="106"/>
      <c r="BS474" s="106"/>
      <c r="BT474" s="106"/>
      <c r="BU474" s="106"/>
    </row>
    <row r="475" spans="15:73"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</row>
    <row r="476" spans="15:73"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</row>
    <row r="477" spans="15:73"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 s="106"/>
      <c r="BQ477" s="106"/>
      <c r="BR477" s="106"/>
      <c r="BS477" s="106"/>
      <c r="BT477" s="106"/>
      <c r="BU477" s="106"/>
    </row>
    <row r="478" spans="15:73"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 s="106"/>
      <c r="BQ478" s="106"/>
      <c r="BR478" s="106"/>
      <c r="BS478" s="106"/>
      <c r="BT478" s="106"/>
      <c r="BU478" s="106"/>
    </row>
    <row r="479" spans="15:73"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</row>
    <row r="480" spans="15:73"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</row>
    <row r="481" spans="15:73"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</row>
    <row r="482" spans="15:73"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</row>
    <row r="483" spans="15:73"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</row>
    <row r="484" spans="15:73"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</row>
    <row r="485" spans="15:73"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</row>
    <row r="486" spans="15:73"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06"/>
      <c r="BR486" s="106"/>
      <c r="BS486" s="106"/>
      <c r="BT486" s="106"/>
      <c r="BU486" s="106"/>
    </row>
    <row r="487" spans="15:73"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 s="106"/>
      <c r="BQ487" s="106"/>
      <c r="BR487" s="106"/>
      <c r="BS487" s="106"/>
      <c r="BT487" s="106"/>
      <c r="BU487" s="106"/>
    </row>
    <row r="488" spans="15:73"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</row>
    <row r="489" spans="15:73"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</row>
    <row r="490" spans="15:73"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</row>
    <row r="491" spans="15:73"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</row>
    <row r="492" spans="15:73"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</row>
    <row r="493" spans="15:73"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 s="106"/>
      <c r="BQ493" s="106"/>
      <c r="BR493" s="106"/>
      <c r="BS493" s="106"/>
      <c r="BT493" s="106"/>
      <c r="BU493" s="106"/>
    </row>
    <row r="494" spans="15:73"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</row>
    <row r="495" spans="15:73"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  <c r="BB495" s="106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O495" s="106"/>
      <c r="BP495" s="106"/>
      <c r="BQ495" s="106"/>
      <c r="BR495" s="106"/>
      <c r="BS495" s="106"/>
      <c r="BT495" s="106"/>
      <c r="BU495" s="106"/>
    </row>
    <row r="496" spans="15:73"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</row>
    <row r="497" spans="15:73"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 s="106"/>
      <c r="BQ497" s="106"/>
      <c r="BR497" s="106"/>
      <c r="BS497" s="106"/>
      <c r="BT497" s="106"/>
      <c r="BU497" s="106"/>
    </row>
    <row r="498" spans="15:73"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</row>
    <row r="499" spans="15:73"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</row>
    <row r="500" spans="15:73"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</row>
    <row r="501" spans="15:73"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</row>
    <row r="502" spans="15:73"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 s="106"/>
      <c r="BQ502" s="106"/>
      <c r="BR502" s="106"/>
      <c r="BS502" s="106"/>
      <c r="BT502" s="106"/>
      <c r="BU502" s="106"/>
    </row>
    <row r="503" spans="15:73"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</row>
    <row r="504" spans="15:73"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 s="106"/>
      <c r="BQ504" s="106"/>
      <c r="BR504" s="106"/>
      <c r="BS504" s="106"/>
      <c r="BT504" s="106"/>
      <c r="BU504" s="106"/>
    </row>
    <row r="505" spans="15:73"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 s="106"/>
      <c r="BQ505" s="106"/>
      <c r="BR505" s="106"/>
      <c r="BS505" s="106"/>
      <c r="BT505" s="106"/>
      <c r="BU505" s="106"/>
    </row>
    <row r="506" spans="15:73"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 s="106"/>
      <c r="BQ506" s="106"/>
      <c r="BR506" s="106"/>
      <c r="BS506" s="106"/>
      <c r="BT506" s="106"/>
      <c r="BU506" s="106"/>
    </row>
    <row r="507" spans="15:73"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  <c r="BB507" s="106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 s="106"/>
      <c r="BQ507" s="106"/>
      <c r="BR507" s="106"/>
      <c r="BS507" s="106"/>
      <c r="BT507" s="106"/>
      <c r="BU507" s="106"/>
    </row>
    <row r="508" spans="15:73"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  <c r="BB508" s="106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 s="106"/>
      <c r="BQ508" s="106"/>
      <c r="BR508" s="106"/>
      <c r="BS508" s="106"/>
      <c r="BT508" s="106"/>
      <c r="BU508" s="106"/>
    </row>
    <row r="509" spans="15:73"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 s="106"/>
      <c r="BQ509" s="106"/>
      <c r="BR509" s="106"/>
      <c r="BS509" s="106"/>
      <c r="BT509" s="106"/>
      <c r="BU509" s="106"/>
    </row>
    <row r="510" spans="15:73"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 s="106"/>
      <c r="BQ510" s="106"/>
      <c r="BR510" s="106"/>
      <c r="BS510" s="106"/>
      <c r="BT510" s="106"/>
      <c r="BU510" s="106"/>
    </row>
    <row r="511" spans="15:73"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</row>
    <row r="512" spans="15:73"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 s="106"/>
      <c r="BQ512" s="106"/>
      <c r="BR512" s="106"/>
      <c r="BS512" s="106"/>
      <c r="BT512" s="106"/>
      <c r="BU512" s="106"/>
    </row>
    <row r="513" spans="15:73"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 s="106"/>
      <c r="BQ513" s="106"/>
      <c r="BR513" s="106"/>
      <c r="BS513" s="106"/>
      <c r="BT513" s="106"/>
      <c r="BU513" s="106"/>
    </row>
    <row r="514" spans="15:73"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 s="106"/>
      <c r="BQ514" s="106"/>
      <c r="BR514" s="106"/>
      <c r="BS514" s="106"/>
      <c r="BT514" s="106"/>
      <c r="BU514" s="106"/>
    </row>
    <row r="515" spans="15:73"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6"/>
      <c r="BB515" s="106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O515" s="106"/>
      <c r="BP515" s="106"/>
      <c r="BQ515" s="106"/>
      <c r="BR515" s="106"/>
      <c r="BS515" s="106"/>
      <c r="BT515" s="106"/>
      <c r="BU515" s="106"/>
    </row>
    <row r="516" spans="15:73"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6"/>
      <c r="BB516" s="106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O516" s="106"/>
      <c r="BP516" s="106"/>
      <c r="BQ516" s="106"/>
      <c r="BR516" s="106"/>
      <c r="BS516" s="106"/>
      <c r="BT516" s="106"/>
      <c r="BU516" s="106"/>
    </row>
    <row r="517" spans="15:73"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  <c r="AZ517" s="106"/>
      <c r="BA517" s="106"/>
      <c r="BB517" s="106"/>
      <c r="BC517" s="106"/>
      <c r="BD517" s="106"/>
      <c r="BE517" s="106"/>
      <c r="BF517" s="106"/>
      <c r="BG517" s="106"/>
      <c r="BH517" s="106"/>
      <c r="BI517" s="106"/>
      <c r="BJ517" s="106"/>
      <c r="BK517" s="106"/>
      <c r="BL517" s="106"/>
      <c r="BM517" s="106"/>
      <c r="BN517" s="106"/>
      <c r="BO517" s="106"/>
      <c r="BP517" s="106"/>
      <c r="BQ517" s="106"/>
      <c r="BR517" s="106"/>
      <c r="BS517" s="106"/>
      <c r="BT517" s="106"/>
      <c r="BU517" s="106"/>
    </row>
    <row r="518" spans="15:73"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6"/>
      <c r="BB518" s="106"/>
      <c r="BC518" s="106"/>
      <c r="BD518" s="106"/>
      <c r="BE518" s="106"/>
      <c r="BF518" s="106"/>
      <c r="BG518" s="106"/>
      <c r="BH518" s="106"/>
      <c r="BI518" s="106"/>
      <c r="BJ518" s="106"/>
      <c r="BK518" s="106"/>
      <c r="BL518" s="106"/>
      <c r="BM518" s="106"/>
      <c r="BN518" s="106"/>
      <c r="BO518" s="106"/>
      <c r="BP518" s="106"/>
      <c r="BQ518" s="106"/>
      <c r="BR518" s="106"/>
      <c r="BS518" s="106"/>
      <c r="BT518" s="106"/>
      <c r="BU518" s="106"/>
    </row>
    <row r="519" spans="15:73"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  <c r="AZ519" s="106"/>
      <c r="BA519" s="106"/>
      <c r="BB519" s="106"/>
      <c r="BC519" s="106"/>
      <c r="BD519" s="106"/>
      <c r="BE519" s="106"/>
      <c r="BF519" s="106"/>
      <c r="BG519" s="106"/>
      <c r="BH519" s="106"/>
      <c r="BI519" s="106"/>
      <c r="BJ519" s="106"/>
      <c r="BK519" s="106"/>
      <c r="BL519" s="106"/>
      <c r="BM519" s="106"/>
      <c r="BN519" s="106"/>
      <c r="BO519" s="106"/>
      <c r="BP519" s="106"/>
      <c r="BQ519" s="106"/>
      <c r="BR519" s="106"/>
      <c r="BS519" s="106"/>
      <c r="BT519" s="106"/>
      <c r="BU519" s="106"/>
    </row>
    <row r="520" spans="15:73"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  <c r="AZ520" s="106"/>
      <c r="BA520" s="106"/>
      <c r="BB520" s="106"/>
      <c r="BC520" s="106"/>
      <c r="BD520" s="106"/>
      <c r="BE520" s="106"/>
      <c r="BF520" s="106"/>
      <c r="BG520" s="106"/>
      <c r="BH520" s="106"/>
      <c r="BI520" s="106"/>
      <c r="BJ520" s="106"/>
      <c r="BK520" s="106"/>
      <c r="BL520" s="106"/>
      <c r="BM520" s="106"/>
      <c r="BN520" s="106"/>
      <c r="BO520" s="106"/>
      <c r="BP520" s="106"/>
      <c r="BQ520" s="106"/>
      <c r="BR520" s="106"/>
      <c r="BS520" s="106"/>
      <c r="BT520" s="106"/>
      <c r="BU520" s="106"/>
    </row>
    <row r="521" spans="15:73"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6"/>
      <c r="BA521" s="106"/>
      <c r="BB521" s="106"/>
      <c r="BC521" s="106"/>
      <c r="BD521" s="106"/>
      <c r="BE521" s="106"/>
      <c r="BF521" s="106"/>
      <c r="BG521" s="106"/>
      <c r="BH521" s="106"/>
      <c r="BI521" s="106"/>
      <c r="BJ521" s="106"/>
      <c r="BK521" s="106"/>
      <c r="BL521" s="106"/>
      <c r="BM521" s="106"/>
      <c r="BN521" s="106"/>
      <c r="BO521" s="106"/>
      <c r="BP521" s="106"/>
      <c r="BQ521" s="106"/>
      <c r="BR521" s="106"/>
      <c r="BS521" s="106"/>
      <c r="BT521" s="106"/>
      <c r="BU521" s="106"/>
    </row>
    <row r="522" spans="15:73"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6"/>
      <c r="BA522" s="106"/>
      <c r="BB522" s="106"/>
      <c r="BC522" s="106"/>
      <c r="BD522" s="106"/>
      <c r="BE522" s="106"/>
      <c r="BF522" s="106"/>
      <c r="BG522" s="106"/>
      <c r="BH522" s="106"/>
      <c r="BI522" s="106"/>
      <c r="BJ522" s="106"/>
      <c r="BK522" s="106"/>
      <c r="BL522" s="106"/>
      <c r="BM522" s="106"/>
      <c r="BN522" s="106"/>
      <c r="BO522" s="106"/>
      <c r="BP522" s="106"/>
      <c r="BQ522" s="106"/>
      <c r="BR522" s="106"/>
      <c r="BS522" s="106"/>
      <c r="BT522" s="106"/>
      <c r="BU522" s="106"/>
    </row>
    <row r="523" spans="15:73"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6"/>
      <c r="BA523" s="106"/>
      <c r="BB523" s="106"/>
      <c r="BC523" s="106"/>
      <c r="BD523" s="106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O523" s="106"/>
      <c r="BP523" s="106"/>
      <c r="BQ523" s="106"/>
      <c r="BR523" s="106"/>
      <c r="BS523" s="106"/>
      <c r="BT523" s="106"/>
      <c r="BU523" s="106"/>
    </row>
    <row r="524" spans="15:73"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6"/>
      <c r="BA524" s="106"/>
      <c r="BB524" s="106"/>
      <c r="BC524" s="106"/>
      <c r="BD524" s="106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O524" s="106"/>
      <c r="BP524" s="106"/>
      <c r="BQ524" s="106"/>
      <c r="BR524" s="106"/>
      <c r="BS524" s="106"/>
      <c r="BT524" s="106"/>
      <c r="BU524" s="106"/>
    </row>
    <row r="525" spans="15:73"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6"/>
      <c r="BB525" s="106"/>
      <c r="BC525" s="106"/>
      <c r="BD525" s="106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O525" s="106"/>
      <c r="BP525" s="106"/>
      <c r="BQ525" s="106"/>
      <c r="BR525" s="106"/>
      <c r="BS525" s="106"/>
      <c r="BT525" s="106"/>
      <c r="BU525" s="106"/>
    </row>
    <row r="526" spans="15:73"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  <c r="AZ526" s="106"/>
      <c r="BA526" s="106"/>
      <c r="BB526" s="106"/>
      <c r="BC526" s="106"/>
      <c r="BD526" s="106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O526" s="106"/>
      <c r="BP526" s="106"/>
      <c r="BQ526" s="106"/>
      <c r="BR526" s="106"/>
      <c r="BS526" s="106"/>
      <c r="BT526" s="106"/>
      <c r="BU526" s="106"/>
    </row>
    <row r="527" spans="15:73"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  <c r="AZ527" s="106"/>
      <c r="BA527" s="106"/>
      <c r="BB527" s="106"/>
      <c r="BC527" s="106"/>
      <c r="BD527" s="106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O527" s="106"/>
      <c r="BP527" s="106"/>
      <c r="BQ527" s="106"/>
      <c r="BR527" s="106"/>
      <c r="BS527" s="106"/>
      <c r="BT527" s="106"/>
      <c r="BU527" s="106"/>
    </row>
    <row r="528" spans="15:73"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  <c r="AZ528" s="106"/>
      <c r="BA528" s="106"/>
      <c r="BB528" s="106"/>
      <c r="BC528" s="106"/>
      <c r="BD528" s="106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O528" s="106"/>
      <c r="BP528" s="106"/>
      <c r="BQ528" s="106"/>
      <c r="BR528" s="106"/>
      <c r="BS528" s="106"/>
      <c r="BT528" s="106"/>
      <c r="BU528" s="106"/>
    </row>
    <row r="529" spans="15:73"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6"/>
      <c r="BB529" s="106"/>
      <c r="BC529" s="106"/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O529" s="106"/>
      <c r="BP529" s="106"/>
      <c r="BQ529" s="106"/>
      <c r="BR529" s="106"/>
      <c r="BS529" s="106"/>
      <c r="BT529" s="106"/>
      <c r="BU529" s="106"/>
    </row>
    <row r="530" spans="15:73"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  <c r="AZ530" s="106"/>
      <c r="BA530" s="106"/>
      <c r="BB530" s="106"/>
      <c r="BC530" s="106"/>
      <c r="BD530" s="106"/>
      <c r="BE530" s="106"/>
      <c r="BF530" s="106"/>
      <c r="BG530" s="106"/>
      <c r="BH530" s="106"/>
      <c r="BI530" s="106"/>
      <c r="BJ530" s="106"/>
      <c r="BK530" s="106"/>
      <c r="BL530" s="106"/>
      <c r="BM530" s="106"/>
      <c r="BN530" s="106"/>
      <c r="BO530" s="106"/>
      <c r="BP530" s="106"/>
      <c r="BQ530" s="106"/>
      <c r="BR530" s="106"/>
      <c r="BS530" s="106"/>
      <c r="BT530" s="106"/>
      <c r="BU530" s="106"/>
    </row>
    <row r="531" spans="15:73"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  <c r="AZ531" s="106"/>
      <c r="BA531" s="106"/>
      <c r="BB531" s="106"/>
      <c r="BC531" s="106"/>
      <c r="BD531" s="106"/>
      <c r="BE531" s="106"/>
      <c r="BF531" s="106"/>
      <c r="BG531" s="106"/>
      <c r="BH531" s="106"/>
      <c r="BI531" s="106"/>
      <c r="BJ531" s="106"/>
      <c r="BK531" s="106"/>
      <c r="BL531" s="106"/>
      <c r="BM531" s="106"/>
      <c r="BN531" s="106"/>
      <c r="BO531" s="106"/>
      <c r="BP531" s="106"/>
      <c r="BQ531" s="106"/>
      <c r="BR531" s="106"/>
      <c r="BS531" s="106"/>
      <c r="BT531" s="106"/>
      <c r="BU531" s="106"/>
    </row>
    <row r="532" spans="15:73"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  <c r="AZ532" s="106"/>
      <c r="BA532" s="106"/>
      <c r="BB532" s="106"/>
      <c r="BC532" s="106"/>
      <c r="BD532" s="106"/>
      <c r="BE532" s="106"/>
      <c r="BF532" s="106"/>
      <c r="BG532" s="106"/>
      <c r="BH532" s="106"/>
      <c r="BI532" s="106"/>
      <c r="BJ532" s="106"/>
      <c r="BK532" s="106"/>
      <c r="BL532" s="106"/>
      <c r="BM532" s="106"/>
      <c r="BN532" s="106"/>
      <c r="BO532" s="106"/>
      <c r="BP532" s="106"/>
      <c r="BQ532" s="106"/>
      <c r="BR532" s="106"/>
      <c r="BS532" s="106"/>
      <c r="BT532" s="106"/>
      <c r="BU532" s="106"/>
    </row>
    <row r="533" spans="15:73"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  <c r="AZ533" s="106"/>
      <c r="BA533" s="106"/>
      <c r="BB533" s="106"/>
      <c r="BC533" s="106"/>
      <c r="BD533" s="106"/>
      <c r="BE533" s="106"/>
      <c r="BF533" s="106"/>
      <c r="BG533" s="106"/>
      <c r="BH533" s="106"/>
      <c r="BI533" s="106"/>
      <c r="BJ533" s="106"/>
      <c r="BK533" s="106"/>
      <c r="BL533" s="106"/>
      <c r="BM533" s="106"/>
      <c r="BN533" s="106"/>
      <c r="BO533" s="106"/>
      <c r="BP533" s="106"/>
      <c r="BQ533" s="106"/>
      <c r="BR533" s="106"/>
      <c r="BS533" s="106"/>
      <c r="BT533" s="106"/>
      <c r="BU533" s="106"/>
    </row>
    <row r="534" spans="15:73"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6"/>
      <c r="BB534" s="106"/>
      <c r="BC534" s="106"/>
      <c r="BD534" s="106"/>
      <c r="BE534" s="106"/>
      <c r="BF534" s="106"/>
      <c r="BG534" s="106"/>
      <c r="BH534" s="106"/>
      <c r="BI534" s="106"/>
      <c r="BJ534" s="106"/>
      <c r="BK534" s="106"/>
      <c r="BL534" s="106"/>
      <c r="BM534" s="106"/>
      <c r="BN534" s="106"/>
      <c r="BO534" s="106"/>
      <c r="BP534" s="106"/>
      <c r="BQ534" s="106"/>
      <c r="BR534" s="106"/>
      <c r="BS534" s="106"/>
      <c r="BT534" s="106"/>
      <c r="BU534" s="106"/>
    </row>
    <row r="535" spans="15:73"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  <c r="AZ535" s="106"/>
      <c r="BA535" s="106"/>
      <c r="BB535" s="106"/>
      <c r="BC535" s="106"/>
      <c r="BD535" s="106"/>
      <c r="BE535" s="106"/>
      <c r="BF535" s="106"/>
      <c r="BG535" s="106"/>
      <c r="BH535" s="106"/>
      <c r="BI535" s="106"/>
      <c r="BJ535" s="106"/>
      <c r="BK535" s="106"/>
      <c r="BL535" s="106"/>
      <c r="BM535" s="106"/>
      <c r="BN535" s="106"/>
      <c r="BO535" s="106"/>
      <c r="BP535" s="106"/>
      <c r="BQ535" s="106"/>
      <c r="BR535" s="106"/>
      <c r="BS535" s="106"/>
      <c r="BT535" s="106"/>
      <c r="BU535" s="106"/>
    </row>
    <row r="536" spans="15:73"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  <c r="AZ536" s="106"/>
      <c r="BA536" s="106"/>
      <c r="BB536" s="106"/>
      <c r="BC536" s="106"/>
      <c r="BD536" s="106"/>
      <c r="BE536" s="106"/>
      <c r="BF536" s="106"/>
      <c r="BG536" s="106"/>
      <c r="BH536" s="106"/>
      <c r="BI536" s="106"/>
      <c r="BJ536" s="106"/>
      <c r="BK536" s="106"/>
      <c r="BL536" s="106"/>
      <c r="BM536" s="106"/>
      <c r="BN536" s="106"/>
      <c r="BO536" s="106"/>
      <c r="BP536" s="106"/>
      <c r="BQ536" s="106"/>
      <c r="BR536" s="106"/>
      <c r="BS536" s="106"/>
      <c r="BT536" s="106"/>
      <c r="BU536" s="106"/>
    </row>
    <row r="537" spans="15:73"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6"/>
      <c r="BA537" s="106"/>
      <c r="BB537" s="106"/>
      <c r="BC537" s="106"/>
      <c r="BD537" s="106"/>
      <c r="BE537" s="106"/>
      <c r="BF537" s="106"/>
      <c r="BG537" s="106"/>
      <c r="BH537" s="106"/>
      <c r="BI537" s="106"/>
      <c r="BJ537" s="106"/>
      <c r="BK537" s="106"/>
      <c r="BL537" s="106"/>
      <c r="BM537" s="106"/>
      <c r="BN537" s="106"/>
      <c r="BO537" s="106"/>
      <c r="BP537" s="106"/>
      <c r="BQ537" s="106"/>
      <c r="BR537" s="106"/>
      <c r="BS537" s="106"/>
      <c r="BT537" s="106"/>
      <c r="BU537" s="106"/>
    </row>
    <row r="538" spans="15:73"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6"/>
      <c r="BB538" s="106"/>
      <c r="BC538" s="106"/>
      <c r="BD538" s="106"/>
      <c r="BE538" s="106"/>
      <c r="BF538" s="106"/>
      <c r="BG538" s="106"/>
      <c r="BH538" s="106"/>
      <c r="BI538" s="106"/>
      <c r="BJ538" s="106"/>
      <c r="BK538" s="106"/>
      <c r="BL538" s="106"/>
      <c r="BM538" s="106"/>
      <c r="BN538" s="106"/>
      <c r="BO538" s="106"/>
      <c r="BP538" s="106"/>
      <c r="BQ538" s="106"/>
      <c r="BR538" s="106"/>
      <c r="BS538" s="106"/>
      <c r="BT538" s="106"/>
      <c r="BU538" s="106"/>
    </row>
  </sheetData>
  <dataConsolidate link="1"/>
  <phoneticPr fontId="26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5"/>
  <sheetViews>
    <sheetView showGridLines="0" zoomScale="85" zoomScaleNormal="85" workbookViewId="0">
      <selection activeCell="R22" sqref="R22"/>
    </sheetView>
  </sheetViews>
  <sheetFormatPr defaultColWidth="9.109375" defaultRowHeight="13.2"/>
  <cols>
    <col min="1" max="1" width="16" customWidth="1"/>
    <col min="2" max="2" width="12.33203125" bestFit="1" customWidth="1"/>
    <col min="3" max="3" width="13" bestFit="1" customWidth="1"/>
    <col min="4" max="4" width="8.6640625" bestFit="1" customWidth="1"/>
    <col min="5" max="5" width="11.5546875" bestFit="1" customWidth="1"/>
    <col min="6" max="6" width="1.6640625" customWidth="1"/>
    <col min="7" max="9" width="11.5546875" bestFit="1" customWidth="1"/>
    <col min="10" max="10" width="10.6640625" customWidth="1"/>
    <col min="11" max="11" width="13.5546875" customWidth="1"/>
    <col min="12" max="12" width="11.6640625" bestFit="1" customWidth="1"/>
  </cols>
  <sheetData>
    <row r="1" spans="1:12" ht="13.8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13.8">
      <c r="A2" s="16"/>
      <c r="B2" s="170" t="s">
        <v>57</v>
      </c>
      <c r="C2" s="170"/>
      <c r="D2" s="170"/>
      <c r="E2" s="170"/>
      <c r="F2" s="16"/>
      <c r="G2" s="170" t="s">
        <v>58</v>
      </c>
      <c r="H2" s="170"/>
      <c r="I2" s="170"/>
      <c r="J2" s="16"/>
    </row>
    <row r="3" spans="1:12" ht="13.8">
      <c r="A3" s="16" t="s">
        <v>17</v>
      </c>
      <c r="B3" s="18" t="s">
        <v>20</v>
      </c>
      <c r="C3" s="21"/>
      <c r="D3" s="21"/>
      <c r="E3" s="21"/>
      <c r="F3" s="21"/>
      <c r="G3" s="21"/>
      <c r="H3" s="21"/>
      <c r="I3" s="21"/>
      <c r="J3" s="18" t="s">
        <v>59</v>
      </c>
    </row>
    <row r="4" spans="1:12" ht="13.8">
      <c r="A4" s="22" t="s">
        <v>60</v>
      </c>
      <c r="B4" s="24" t="s">
        <v>61</v>
      </c>
      <c r="C4" s="24" t="s">
        <v>26</v>
      </c>
      <c r="D4" s="24" t="s">
        <v>27</v>
      </c>
      <c r="E4" s="26" t="s">
        <v>62</v>
      </c>
      <c r="F4" s="25"/>
      <c r="G4" s="24" t="s">
        <v>63</v>
      </c>
      <c r="H4" s="24" t="s">
        <v>64</v>
      </c>
      <c r="I4" s="24" t="s">
        <v>62</v>
      </c>
      <c r="J4" s="24" t="s">
        <v>65</v>
      </c>
    </row>
    <row r="5" spans="1:12" ht="14.4">
      <c r="A5" s="16"/>
      <c r="B5" s="171" t="s">
        <v>66</v>
      </c>
      <c r="C5" s="171"/>
      <c r="D5" s="171"/>
      <c r="E5" s="171"/>
      <c r="F5" s="171"/>
      <c r="G5" s="171"/>
      <c r="H5" s="171"/>
      <c r="I5" s="171"/>
      <c r="J5" s="171"/>
    </row>
    <row r="6" spans="1:12" ht="13.8">
      <c r="A6" s="16" t="s">
        <v>34</v>
      </c>
      <c r="B6" s="44">
        <v>341.33600000000001</v>
      </c>
      <c r="C6" s="45">
        <v>50564.716999999997</v>
      </c>
      <c r="D6" s="45">
        <v>784.47037552399991</v>
      </c>
      <c r="E6" s="33">
        <f>SUM(B6:D6)</f>
        <v>51690.523375523997</v>
      </c>
      <c r="F6" s="45"/>
      <c r="G6" s="45">
        <v>37674.379976930999</v>
      </c>
      <c r="H6" s="45">
        <v>13675.348139189</v>
      </c>
      <c r="I6" s="45">
        <f>SUM(G6:H6)</f>
        <v>51349.728116120001</v>
      </c>
      <c r="J6" s="45">
        <v>340.786</v>
      </c>
    </row>
    <row r="7" spans="1:12" ht="16.2">
      <c r="A7" s="16" t="s">
        <v>35</v>
      </c>
      <c r="B7" s="44">
        <f>J6</f>
        <v>340.786</v>
      </c>
      <c r="C7" s="45">
        <f>C23</f>
        <v>51814.455000000002</v>
      </c>
      <c r="D7" s="45">
        <f>D23</f>
        <v>649.11497484899996</v>
      </c>
      <c r="E7" s="33">
        <f>E23</f>
        <v>52804.355974849001</v>
      </c>
      <c r="F7" s="45"/>
      <c r="G7" s="45">
        <f>G23</f>
        <v>38969.617926673003</v>
      </c>
      <c r="H7" s="45">
        <f>H23</f>
        <v>13523.811048175998</v>
      </c>
      <c r="I7" s="45">
        <f>I23</f>
        <v>52493.428974849005</v>
      </c>
      <c r="J7" s="45">
        <f>J22</f>
        <v>310.92700000000002</v>
      </c>
    </row>
    <row r="8" spans="1:12" ht="16.2">
      <c r="A8" s="16" t="s">
        <v>36</v>
      </c>
      <c r="B8" s="44">
        <f>J7</f>
        <v>310.92700000000002</v>
      </c>
      <c r="C8" s="45">
        <v>52489.072999999997</v>
      </c>
      <c r="D8" s="45">
        <v>650</v>
      </c>
      <c r="E8" s="33">
        <f>SUM(B8:D8)</f>
        <v>53450</v>
      </c>
      <c r="F8" s="45"/>
      <c r="G8" s="45">
        <v>39400</v>
      </c>
      <c r="H8" s="45">
        <v>13700</v>
      </c>
      <c r="I8" s="45">
        <f>E8-J8</f>
        <v>53100</v>
      </c>
      <c r="J8" s="45">
        <v>350</v>
      </c>
    </row>
    <row r="9" spans="1:12" ht="13.8">
      <c r="A9" s="16"/>
      <c r="B9" s="46"/>
      <c r="C9" s="46"/>
      <c r="D9" s="46"/>
      <c r="E9" s="46"/>
      <c r="F9" s="46"/>
      <c r="G9" s="45"/>
      <c r="H9" s="46"/>
      <c r="I9" s="46"/>
      <c r="J9" s="46"/>
    </row>
    <row r="10" spans="1:12" ht="13.8">
      <c r="A10" s="36" t="s">
        <v>37</v>
      </c>
      <c r="B10" s="47"/>
      <c r="C10" s="6"/>
      <c r="D10" s="6"/>
      <c r="E10" s="6"/>
      <c r="F10" s="6"/>
      <c r="G10" s="6"/>
      <c r="H10" s="6"/>
      <c r="I10" s="6"/>
      <c r="J10" s="6"/>
    </row>
    <row r="11" spans="1:12" ht="14.4">
      <c r="A11" s="16" t="s">
        <v>39</v>
      </c>
      <c r="B11" s="47">
        <f>J6</f>
        <v>340.786</v>
      </c>
      <c r="C11" s="6">
        <v>4591.6390000000001</v>
      </c>
      <c r="D11" s="6">
        <f>(56544.8*1.10231)/1000</f>
        <v>62.329898487999998</v>
      </c>
      <c r="E11" s="6">
        <f t="shared" ref="E11:E22" si="0">SUM(B11:D11)</f>
        <v>4994.7548984880004</v>
      </c>
      <c r="F11" s="6"/>
      <c r="G11" s="6">
        <f t="shared" ref="G11:G22" si="1">I11-H11</f>
        <v>3492.8235415470008</v>
      </c>
      <c r="H11" s="6">
        <f>(989241.1*1.10231)/1000</f>
        <v>1090.4503569409999</v>
      </c>
      <c r="I11" s="5">
        <f t="shared" ref="I11:I22" si="2">E11-J11</f>
        <v>4583.2738984880007</v>
      </c>
      <c r="J11" s="6">
        <v>411.48099999999999</v>
      </c>
      <c r="K11" s="107"/>
      <c r="L11" s="111"/>
    </row>
    <row r="12" spans="1:12" ht="14.4">
      <c r="A12" s="16" t="s">
        <v>40</v>
      </c>
      <c r="B12" s="47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3282.1204081570004</v>
      </c>
      <c r="H12" s="6">
        <f>(1131890.6*1.10231)/1000</f>
        <v>1247.6943272859999</v>
      </c>
      <c r="I12" s="5">
        <f t="shared" si="2"/>
        <v>4529.8147354430002</v>
      </c>
      <c r="J12" s="6">
        <v>375.61200000000002</v>
      </c>
      <c r="K12" s="107"/>
      <c r="L12" s="111"/>
    </row>
    <row r="13" spans="1:12" ht="14.4">
      <c r="A13" s="16" t="s">
        <v>42</v>
      </c>
      <c r="B13" s="47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3224.487584683</v>
      </c>
      <c r="H13" s="6">
        <f>(1275842.3*1.10231)/1000</f>
        <v>1406.3737257129999</v>
      </c>
      <c r="I13" s="5">
        <f t="shared" si="2"/>
        <v>4630.8613103959997</v>
      </c>
      <c r="J13" s="6">
        <v>411.30900000000003</v>
      </c>
      <c r="K13" s="107"/>
      <c r="L13" s="111"/>
    </row>
    <row r="14" spans="1:12" ht="14.4">
      <c r="A14" s="16" t="s">
        <v>43</v>
      </c>
      <c r="B14" s="47">
        <f t="shared" si="3"/>
        <v>411.30900000000003</v>
      </c>
      <c r="C14" s="6">
        <v>4533.1530000000002</v>
      </c>
      <c r="D14" s="6">
        <f>(40167.4*1.10231)/1000</f>
        <v>44.276926693999997</v>
      </c>
      <c r="E14" s="6">
        <f t="shared" si="0"/>
        <v>4988.7389266940008</v>
      </c>
      <c r="F14" s="6"/>
      <c r="G14" s="6">
        <f t="shared" si="1"/>
        <v>3259.9617703520012</v>
      </c>
      <c r="H14" s="6">
        <f>(1177548.2*1.10231)/1000</f>
        <v>1298.0231563419998</v>
      </c>
      <c r="I14" s="5">
        <f t="shared" si="2"/>
        <v>4557.9849266940009</v>
      </c>
      <c r="J14" s="6">
        <v>430.75400000000002</v>
      </c>
      <c r="K14" s="107"/>
      <c r="L14" s="111"/>
    </row>
    <row r="15" spans="1:12" ht="14.4">
      <c r="A15" s="16" t="s">
        <v>44</v>
      </c>
      <c r="B15" s="47">
        <f t="shared" si="3"/>
        <v>430.75400000000002</v>
      </c>
      <c r="C15" s="6">
        <v>4089.9549999999999</v>
      </c>
      <c r="D15" s="6">
        <f>(46777.6*1.10231)/1000</f>
        <v>51.563416255999996</v>
      </c>
      <c r="E15" s="6">
        <f t="shared" si="0"/>
        <v>4572.2724162559998</v>
      </c>
      <c r="F15" s="6"/>
      <c r="G15" s="6">
        <f t="shared" si="1"/>
        <v>3104.2082034579998</v>
      </c>
      <c r="H15" s="6">
        <f>(981745.8*1.10231)/1000</f>
        <v>1082.1882127979998</v>
      </c>
      <c r="I15" s="5">
        <f t="shared" si="2"/>
        <v>4186.3964162559996</v>
      </c>
      <c r="J15" s="6">
        <v>385.87600000000003</v>
      </c>
      <c r="K15" s="107"/>
      <c r="L15" s="111"/>
    </row>
    <row r="16" spans="1:12" ht="14.4">
      <c r="A16" s="16" t="s">
        <v>46</v>
      </c>
      <c r="B16" s="47">
        <f t="shared" si="3"/>
        <v>385.87600000000003</v>
      </c>
      <c r="C16" s="6">
        <v>4549.6310000000003</v>
      </c>
      <c r="D16" s="6">
        <f>(36598.4*1.10231)/1000</f>
        <v>40.342782304000004</v>
      </c>
      <c r="E16" s="6">
        <f t="shared" si="0"/>
        <v>4975.8497823040007</v>
      </c>
      <c r="F16" s="6"/>
      <c r="G16" s="6">
        <f t="shared" si="1"/>
        <v>3397.5364563470011</v>
      </c>
      <c r="H16" s="6">
        <f>(1086214.7*1.10231)/1000</f>
        <v>1197.3453259569999</v>
      </c>
      <c r="I16" s="5">
        <f t="shared" si="2"/>
        <v>4594.8817823040008</v>
      </c>
      <c r="J16" s="6">
        <v>380.96799999999996</v>
      </c>
      <c r="K16" s="107"/>
      <c r="L16" s="111"/>
    </row>
    <row r="17" spans="1:12" ht="14.4">
      <c r="A17" s="16" t="s">
        <v>47</v>
      </c>
      <c r="B17" s="47">
        <f t="shared" si="3"/>
        <v>380.96799999999996</v>
      </c>
      <c r="C17" s="6">
        <v>4254.5450000000001</v>
      </c>
      <c r="D17" s="6">
        <f>(55089.9*1.10231)/1000</f>
        <v>60.726147668999999</v>
      </c>
      <c r="E17" s="6">
        <f t="shared" si="0"/>
        <v>4696.239147669</v>
      </c>
      <c r="F17" s="6"/>
      <c r="G17" s="6">
        <f t="shared" si="1"/>
        <v>3065.5731103500002</v>
      </c>
      <c r="H17" s="6">
        <f>(1075604.9*1.10231)/1000</f>
        <v>1185.6500373189999</v>
      </c>
      <c r="I17" s="5">
        <f t="shared" si="2"/>
        <v>4251.2231476690004</v>
      </c>
      <c r="J17" s="6">
        <v>445.01600000000002</v>
      </c>
      <c r="K17" s="107"/>
      <c r="L17" s="111"/>
    </row>
    <row r="18" spans="1:12" ht="14.4">
      <c r="A18" s="16" t="s">
        <v>48</v>
      </c>
      <c r="B18" s="47">
        <f t="shared" si="3"/>
        <v>445.01600000000002</v>
      </c>
      <c r="C18" s="6">
        <v>4260.0889999999999</v>
      </c>
      <c r="D18" s="112">
        <f>(66198.8*1.10231)/1000</f>
        <v>72.971599227999988</v>
      </c>
      <c r="E18" s="6">
        <f t="shared" si="0"/>
        <v>4778.0765992279994</v>
      </c>
      <c r="F18" s="6"/>
      <c r="G18" s="6">
        <f t="shared" si="1"/>
        <v>3171.9378907949995</v>
      </c>
      <c r="H18" s="112">
        <f>(1036354.3*1.10231)/1000</f>
        <v>1142.3837084329998</v>
      </c>
      <c r="I18" s="5">
        <f t="shared" si="2"/>
        <v>4314.3215992279993</v>
      </c>
      <c r="J18" s="6">
        <v>463.755</v>
      </c>
      <c r="K18" s="107"/>
      <c r="L18" s="111"/>
    </row>
    <row r="19" spans="1:12" ht="14.4">
      <c r="A19" s="16" t="s">
        <v>50</v>
      </c>
      <c r="B19" s="47">
        <f t="shared" si="3"/>
        <v>463.755</v>
      </c>
      <c r="C19" s="6">
        <v>4106.5650000000005</v>
      </c>
      <c r="D19" s="112">
        <f>(56052.6*1.10231)/1000</f>
        <v>61.78734150599999</v>
      </c>
      <c r="E19" s="6">
        <f t="shared" si="0"/>
        <v>4632.1073415060009</v>
      </c>
      <c r="F19" s="6"/>
      <c r="G19" s="6">
        <f t="shared" si="1"/>
        <v>3129.3458416380008</v>
      </c>
      <c r="H19" s="112">
        <f>(1039142.8*1.10231)/1000</f>
        <v>1145.457499868</v>
      </c>
      <c r="I19" s="5">
        <f t="shared" si="2"/>
        <v>4274.8033415060008</v>
      </c>
      <c r="J19" s="6">
        <v>357.30399999999997</v>
      </c>
      <c r="K19" s="107"/>
    </row>
    <row r="20" spans="1:12" ht="14.4">
      <c r="A20" s="16" t="s">
        <v>51</v>
      </c>
      <c r="B20" s="47">
        <f>J19</f>
        <v>357.30399999999997</v>
      </c>
      <c r="C20" s="6">
        <v>4270.28</v>
      </c>
      <c r="D20" s="112">
        <f>(67390*1.10231)/1000</f>
        <v>74.284670899999995</v>
      </c>
      <c r="E20" s="6">
        <f t="shared" si="0"/>
        <v>4701.8686708999994</v>
      </c>
      <c r="F20" s="6"/>
      <c r="G20" s="6">
        <f t="shared" si="1"/>
        <v>3260.6808691549995</v>
      </c>
      <c r="H20" s="112">
        <f>(829589.5*1.10231)/1000</f>
        <v>914.46480174499993</v>
      </c>
      <c r="I20" s="5">
        <f t="shared" si="2"/>
        <v>4175.1456708999995</v>
      </c>
      <c r="J20" s="6">
        <v>526.72299999999996</v>
      </c>
      <c r="K20" s="107"/>
    </row>
    <row r="21" spans="1:12" ht="14.4">
      <c r="A21" s="16" t="s">
        <v>52</v>
      </c>
      <c r="B21" s="47">
        <f>J20</f>
        <v>526.72299999999996</v>
      </c>
      <c r="C21" s="6">
        <v>4147.2370000000001</v>
      </c>
      <c r="D21" s="112">
        <f>(45618.3*1.10231)/1000</f>
        <v>50.285508272999998</v>
      </c>
      <c r="E21" s="6">
        <f t="shared" si="0"/>
        <v>4724.2455082730003</v>
      </c>
      <c r="F21" s="6"/>
      <c r="G21" s="6">
        <f t="shared" si="1"/>
        <v>3463.4597325930004</v>
      </c>
      <c r="H21" s="112">
        <f>(828128*1.10231)/1000</f>
        <v>912.85377568000001</v>
      </c>
      <c r="I21" s="5">
        <f t="shared" si="2"/>
        <v>4376.3135082730005</v>
      </c>
      <c r="J21" s="6">
        <v>347.93200000000002</v>
      </c>
      <c r="K21" s="107"/>
    </row>
    <row r="22" spans="1:12" ht="14.4">
      <c r="A22" s="16" t="s">
        <v>38</v>
      </c>
      <c r="B22" s="47">
        <f>J21</f>
        <v>347.93200000000002</v>
      </c>
      <c r="C22" s="6">
        <v>3925.0389999999998</v>
      </c>
      <c r="D22" s="112">
        <f>(51133.2*1.10231)/1000</f>
        <v>56.364637691999988</v>
      </c>
      <c r="E22" s="6">
        <f t="shared" si="0"/>
        <v>4329.3356376919992</v>
      </c>
      <c r="F22" s="6"/>
      <c r="G22" s="6">
        <f t="shared" si="1"/>
        <v>3117.482517597999</v>
      </c>
      <c r="H22" s="112">
        <f>(817307.4*1.10231)/1000</f>
        <v>900.92612009399988</v>
      </c>
      <c r="I22" s="5">
        <f t="shared" si="2"/>
        <v>4018.408637691999</v>
      </c>
      <c r="J22" s="6">
        <v>310.92700000000002</v>
      </c>
      <c r="K22" s="116"/>
    </row>
    <row r="23" spans="1:12" ht="14.4">
      <c r="A23" s="16" t="s">
        <v>28</v>
      </c>
      <c r="B23" s="47"/>
      <c r="C23" s="6">
        <f>SUM(C11:C22)</f>
        <v>51814.455000000002</v>
      </c>
      <c r="D23" s="6">
        <f>(588867.9*1.10231)/1000</f>
        <v>649.11497484899996</v>
      </c>
      <c r="E23" s="6">
        <f>B11+C23+D23</f>
        <v>52804.355974849001</v>
      </c>
      <c r="F23" s="6"/>
      <c r="G23" s="6">
        <f>SUM(G11:G22)</f>
        <v>38969.617926673003</v>
      </c>
      <c r="H23" s="6">
        <f>(12268609.6*1.10231)/1000</f>
        <v>13523.811048175998</v>
      </c>
      <c r="I23" s="6">
        <f>SUM(I11:I22)</f>
        <v>52493.428974849005</v>
      </c>
      <c r="J23" s="6"/>
      <c r="K23" s="107"/>
    </row>
    <row r="24" spans="1:12" ht="14.4">
      <c r="A24" s="16"/>
      <c r="B24" s="47"/>
      <c r="C24" s="6"/>
      <c r="D24" s="6"/>
      <c r="E24" s="6"/>
      <c r="F24" s="6"/>
      <c r="G24" s="6"/>
      <c r="H24" s="6"/>
      <c r="I24" s="6"/>
      <c r="J24" s="6"/>
      <c r="K24" s="107"/>
    </row>
    <row r="25" spans="1:12" ht="14.4">
      <c r="A25" s="36" t="s">
        <v>54</v>
      </c>
      <c r="B25" s="47"/>
      <c r="C25" s="6"/>
      <c r="D25" s="6"/>
      <c r="E25" s="6"/>
      <c r="F25" s="6"/>
      <c r="G25" s="6"/>
      <c r="H25" s="6"/>
      <c r="I25" s="6"/>
      <c r="J25" s="6"/>
      <c r="K25" s="107"/>
    </row>
    <row r="26" spans="1:12" ht="14.4">
      <c r="A26" s="16" t="s">
        <v>39</v>
      </c>
      <c r="B26" s="47">
        <f>J22</f>
        <v>310.92700000000002</v>
      </c>
      <c r="C26" s="6">
        <v>4603.3959999999997</v>
      </c>
      <c r="D26" s="6">
        <f>(58138.2*1.10231)/1000</f>
        <v>64.086319241999988</v>
      </c>
      <c r="E26" s="6">
        <f t="shared" ref="E26:E30" si="4">SUM(B26:D26)</f>
        <v>4978.4093192419996</v>
      </c>
      <c r="F26" s="6"/>
      <c r="G26" s="6">
        <f t="shared" ref="G26:G30" si="5">I26-H26</f>
        <v>3640.5241230109996</v>
      </c>
      <c r="H26" s="6">
        <f>(870600.1*1.10231)/1000</f>
        <v>959.67119623099984</v>
      </c>
      <c r="I26" s="5">
        <f t="shared" ref="I26:I30" si="6">E26-J26</f>
        <v>4600.1953192419996</v>
      </c>
      <c r="J26" s="6">
        <v>378.214</v>
      </c>
      <c r="K26" s="107"/>
    </row>
    <row r="27" spans="1:12" ht="14.4">
      <c r="A27" s="16" t="s">
        <v>40</v>
      </c>
      <c r="B27" s="47">
        <f>J26</f>
        <v>378.214</v>
      </c>
      <c r="C27" s="6">
        <v>4469.9660000000003</v>
      </c>
      <c r="D27" s="6">
        <f>(53339.9*1.10231)/1000</f>
        <v>58.797105168999998</v>
      </c>
      <c r="E27" s="6">
        <f t="shared" si="4"/>
        <v>4906.9771051690004</v>
      </c>
      <c r="F27" s="6"/>
      <c r="G27" s="6">
        <f t="shared" si="5"/>
        <v>3305.9972672080012</v>
      </c>
      <c r="H27" s="6">
        <f>(1135683.1*1.10231)/1000</f>
        <v>1251.8748379609999</v>
      </c>
      <c r="I27" s="5">
        <f t="shared" si="6"/>
        <v>4557.8721051690009</v>
      </c>
      <c r="J27" s="6">
        <v>349.10500000000002</v>
      </c>
      <c r="K27" s="107"/>
    </row>
    <row r="28" spans="1:12" ht="14.4">
      <c r="A28" s="16" t="s">
        <v>42</v>
      </c>
      <c r="B28" s="47">
        <f>J27</f>
        <v>349.10500000000002</v>
      </c>
      <c r="C28" s="6">
        <v>4437.4089999999997</v>
      </c>
      <c r="D28" s="6">
        <f>(32195.5*1.10231)/1000</f>
        <v>35.489421604999997</v>
      </c>
      <c r="E28" s="6">
        <f t="shared" si="4"/>
        <v>4822.0034216049989</v>
      </c>
      <c r="F28" s="6"/>
      <c r="G28" s="6">
        <f t="shared" si="5"/>
        <v>3048.1806654779984</v>
      </c>
      <c r="H28" s="6">
        <f>(1195621.7*1.10231)/1000</f>
        <v>1317.9457561269999</v>
      </c>
      <c r="I28" s="5">
        <f t="shared" si="6"/>
        <v>4366.1264216049985</v>
      </c>
      <c r="J28" s="6">
        <v>455.87700000000001</v>
      </c>
      <c r="K28" s="107"/>
    </row>
    <row r="29" spans="1:12" ht="14.4">
      <c r="A29" s="16" t="s">
        <v>43</v>
      </c>
      <c r="B29" s="47">
        <f>J28</f>
        <v>455.87700000000001</v>
      </c>
      <c r="C29" s="6">
        <v>4540.9090000000006</v>
      </c>
      <c r="D29" s="6">
        <f>(87357.8*1.10231)/1000</f>
        <v>96.295376517999983</v>
      </c>
      <c r="E29" s="6">
        <f t="shared" si="4"/>
        <v>5093.081376518001</v>
      </c>
      <c r="F29" s="6"/>
      <c r="G29" s="6">
        <f t="shared" si="5"/>
        <v>3101.8863894670012</v>
      </c>
      <c r="H29" s="6">
        <f>(1404622.1*1.10231)/1000</f>
        <v>1548.3289870509998</v>
      </c>
      <c r="I29" s="5">
        <f t="shared" si="6"/>
        <v>4650.215376518001</v>
      </c>
      <c r="J29" s="6">
        <v>442.86599999999999</v>
      </c>
      <c r="K29" s="107"/>
    </row>
    <row r="30" spans="1:12" ht="14.4">
      <c r="A30" s="15" t="s">
        <v>44</v>
      </c>
      <c r="B30" s="48">
        <f>J29</f>
        <v>442.86599999999999</v>
      </c>
      <c r="C30" s="41">
        <v>4197.5839999999998</v>
      </c>
      <c r="D30" s="41">
        <f>(40187.2*1.10231)/1000</f>
        <v>44.298752431999993</v>
      </c>
      <c r="E30" s="41">
        <f t="shared" si="4"/>
        <v>4684.7487524319995</v>
      </c>
      <c r="F30" s="41"/>
      <c r="G30" s="41">
        <f t="shared" si="5"/>
        <v>3189.261751647</v>
      </c>
      <c r="H30" s="41">
        <f>(925173.5*1.10231)/1000</f>
        <v>1019.828000785</v>
      </c>
      <c r="I30" s="53">
        <f t="shared" si="6"/>
        <v>4209.0897524319998</v>
      </c>
      <c r="J30" s="41">
        <v>475.65899999999999</v>
      </c>
      <c r="K30" s="107"/>
    </row>
    <row r="31" spans="1:12" ht="16.2">
      <c r="A31" s="49" t="s">
        <v>67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2" ht="14.4">
      <c r="A32" s="16" t="s">
        <v>68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3.8">
      <c r="A33" s="21" t="s">
        <v>56</v>
      </c>
      <c r="B33" s="43">
        <f>Contents!A16</f>
        <v>45027</v>
      </c>
      <c r="C33" s="39"/>
      <c r="D33" s="34"/>
      <c r="E33" s="34"/>
      <c r="F33" s="34"/>
      <c r="G33" s="34"/>
      <c r="H33" s="34"/>
      <c r="I33" s="34"/>
      <c r="J33" s="34"/>
    </row>
    <row r="34" spans="1:10">
      <c r="B34" s="50"/>
      <c r="C34" s="51"/>
      <c r="D34" s="50"/>
      <c r="E34" s="104"/>
      <c r="F34" s="50"/>
      <c r="G34" s="50"/>
      <c r="H34" s="52"/>
      <c r="I34" s="104"/>
      <c r="J34" s="50"/>
    </row>
    <row r="35" spans="1:10"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3">
    <mergeCell ref="G2:I2"/>
    <mergeCell ref="B5:J5"/>
    <mergeCell ref="B2:E2"/>
  </mergeCells>
  <phoneticPr fontId="26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4"/>
  <sheetViews>
    <sheetView showGridLines="0" zoomScale="85" zoomScaleNormal="85" workbookViewId="0"/>
  </sheetViews>
  <sheetFormatPr defaultColWidth="9.109375" defaultRowHeight="13.2"/>
  <cols>
    <col min="1" max="1" width="15.44140625" customWidth="1"/>
    <col min="2" max="2" width="12.33203125" bestFit="1" customWidth="1"/>
    <col min="3" max="3" width="12.109375" bestFit="1" customWidth="1"/>
    <col min="4" max="4" width="11" bestFit="1" customWidth="1"/>
    <col min="5" max="5" width="11.33203125" bestFit="1" customWidth="1"/>
    <col min="6" max="6" width="3.6640625" customWidth="1"/>
    <col min="7" max="7" width="11.5546875" bestFit="1" customWidth="1"/>
    <col min="8" max="8" width="10.6640625" customWidth="1"/>
    <col min="9" max="9" width="12.6640625" customWidth="1"/>
    <col min="10" max="10" width="9.664062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14" ht="13.8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3.8">
      <c r="A2" s="16"/>
      <c r="B2" s="170" t="s">
        <v>57</v>
      </c>
      <c r="C2" s="170"/>
      <c r="D2" s="170"/>
      <c r="E2" s="170"/>
      <c r="F2" s="16"/>
      <c r="G2" s="170" t="s">
        <v>58</v>
      </c>
      <c r="H2" s="170"/>
      <c r="I2" s="170"/>
      <c r="J2" s="125"/>
      <c r="K2" s="125"/>
      <c r="L2" s="16"/>
    </row>
    <row r="3" spans="1:14" ht="13.8">
      <c r="A3" s="16" t="s">
        <v>17</v>
      </c>
      <c r="B3" s="18" t="s">
        <v>69</v>
      </c>
      <c r="C3" s="18" t="s">
        <v>26</v>
      </c>
      <c r="D3" s="18" t="s">
        <v>70</v>
      </c>
      <c r="E3" s="18" t="s">
        <v>62</v>
      </c>
      <c r="F3" s="18"/>
      <c r="G3" s="125" t="s">
        <v>63</v>
      </c>
      <c r="H3" s="125"/>
      <c r="I3" s="125"/>
      <c r="J3" s="18" t="s">
        <v>71</v>
      </c>
      <c r="K3" s="18" t="s">
        <v>62</v>
      </c>
      <c r="L3" s="18" t="s">
        <v>59</v>
      </c>
    </row>
    <row r="4" spans="1:14" ht="16.2">
      <c r="A4" s="22" t="s">
        <v>60</v>
      </c>
      <c r="B4" s="24" t="s">
        <v>61</v>
      </c>
      <c r="C4" s="25"/>
      <c r="D4" s="25"/>
      <c r="E4" s="25"/>
      <c r="F4" s="25"/>
      <c r="G4" s="24" t="s">
        <v>28</v>
      </c>
      <c r="H4" s="24" t="s">
        <v>72</v>
      </c>
      <c r="I4" s="24" t="s">
        <v>73</v>
      </c>
      <c r="J4" s="25"/>
      <c r="K4" s="25"/>
      <c r="L4" s="18" t="s">
        <v>65</v>
      </c>
    </row>
    <row r="5" spans="1:14" ht="14.4">
      <c r="A5" s="16"/>
      <c r="B5" s="172" t="s">
        <v>74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4" ht="13.8">
      <c r="A6" s="16" t="s">
        <v>34</v>
      </c>
      <c r="B6" s="46">
        <v>1852.675</v>
      </c>
      <c r="C6" s="46">
        <v>25022.667000000001</v>
      </c>
      <c r="D6" s="46">
        <v>301.5817074144</v>
      </c>
      <c r="E6" s="46">
        <f>SUM(B6:D6)</f>
        <v>27176.9237074144</v>
      </c>
      <c r="F6" s="46"/>
      <c r="G6" s="46">
        <f>K6-J6</f>
        <v>23314.332046145799</v>
      </c>
      <c r="H6" s="46">
        <v>8920.4621000000006</v>
      </c>
      <c r="I6" s="33">
        <v>14393.8697256836</v>
      </c>
      <c r="J6" s="46">
        <v>1731.3586612685999</v>
      </c>
      <c r="K6" s="46">
        <f>E6-L6</f>
        <v>25045.6907074144</v>
      </c>
      <c r="L6" s="46">
        <v>2131.2330000000002</v>
      </c>
      <c r="M6" s="99"/>
    </row>
    <row r="7" spans="1:14" ht="16.2">
      <c r="A7" s="16" t="s">
        <v>35</v>
      </c>
      <c r="B7" s="46">
        <f>L6</f>
        <v>2131.2330000000002</v>
      </c>
      <c r="C7" s="46">
        <f>C23</f>
        <v>26155.173000000003</v>
      </c>
      <c r="D7" s="46">
        <f>D23</f>
        <v>303.28830530459993</v>
      </c>
      <c r="E7" s="46">
        <f>E23</f>
        <v>28589.694305304602</v>
      </c>
      <c r="F7" s="46"/>
      <c r="G7" s="46">
        <f>K7-J7</f>
        <v>24825.1031737536</v>
      </c>
      <c r="H7" s="46">
        <v>10348.19</v>
      </c>
      <c r="I7" s="33">
        <f>G7-H7</f>
        <v>14476.913173753599</v>
      </c>
      <c r="J7" s="46">
        <f>J23</f>
        <v>1773.4431315509999</v>
      </c>
      <c r="K7" s="46">
        <f>E7-L7</f>
        <v>26598.546305304601</v>
      </c>
      <c r="L7" s="46">
        <f>L22</f>
        <v>1991.1480000000001</v>
      </c>
    </row>
    <row r="8" spans="1:14" ht="16.2">
      <c r="A8" s="16" t="s">
        <v>36</v>
      </c>
      <c r="B8" s="46">
        <f>L7</f>
        <v>1991.1480000000001</v>
      </c>
      <c r="C8" s="46">
        <v>26195</v>
      </c>
      <c r="D8" s="46">
        <v>300</v>
      </c>
      <c r="E8" s="46">
        <f>SUM(B8:D8)</f>
        <v>28486.148000000001</v>
      </c>
      <c r="F8" s="46"/>
      <c r="G8" s="46">
        <f>K8-J8</f>
        <v>26050</v>
      </c>
      <c r="H8" s="46">
        <v>11600</v>
      </c>
      <c r="I8" s="33">
        <f>G8-H8</f>
        <v>14450</v>
      </c>
      <c r="J8" s="46">
        <v>500</v>
      </c>
      <c r="K8" s="46">
        <f>E8-L8</f>
        <v>26550</v>
      </c>
      <c r="L8" s="46">
        <v>1936.148000000001</v>
      </c>
    </row>
    <row r="9" spans="1:14" ht="13.8">
      <c r="A9" s="16"/>
      <c r="B9" s="46"/>
      <c r="C9" s="46"/>
      <c r="D9" s="46"/>
      <c r="E9" s="46"/>
      <c r="F9" s="46"/>
      <c r="G9" s="46"/>
      <c r="H9" s="46"/>
      <c r="I9" s="100"/>
      <c r="J9" s="46"/>
      <c r="K9" s="46"/>
      <c r="L9" s="46"/>
    </row>
    <row r="10" spans="1:14" ht="13.8">
      <c r="A10" s="36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16" t="s">
        <v>39</v>
      </c>
      <c r="B11" s="5">
        <f>L6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2071.1409910572002</v>
      </c>
      <c r="H11" s="6">
        <v>832.42700000000002</v>
      </c>
      <c r="I11" s="6">
        <f t="shared" ref="I11:I22" si="2">G11-H11</f>
        <v>1238.7139910572</v>
      </c>
      <c r="J11" s="6">
        <f>(25929.1*2204.622)/1000000</f>
        <v>57.16386430019999</v>
      </c>
      <c r="K11" s="6">
        <f t="shared" ref="K11:K22" si="3">E11-L11</f>
        <v>2128.3048553574004</v>
      </c>
      <c r="L11" s="5">
        <v>2386.337</v>
      </c>
      <c r="N11" s="111"/>
    </row>
    <row r="12" spans="1:14" ht="13.8">
      <c r="A12" s="16" t="s">
        <v>40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11"/>
    </row>
    <row r="13" spans="1:14" ht="13.8">
      <c r="A13" s="16" t="s">
        <v>42</v>
      </c>
      <c r="B13" s="5">
        <f t="shared" si="4"/>
        <v>2405.9630000000002</v>
      </c>
      <c r="C13" s="6">
        <v>2324.183</v>
      </c>
      <c r="D13" s="6">
        <f>(14353.5*2204.622)/1000000</f>
        <v>31.644041876999996</v>
      </c>
      <c r="E13" s="6">
        <f t="shared" si="0"/>
        <v>4761.7900418770005</v>
      </c>
      <c r="F13" s="57"/>
      <c r="G13" s="5">
        <f t="shared" si="1"/>
        <v>2130.8006323142004</v>
      </c>
      <c r="H13" s="6">
        <v>938.34100000000001</v>
      </c>
      <c r="I13" s="6">
        <f t="shared" si="2"/>
        <v>1192.4596323142005</v>
      </c>
      <c r="J13" s="6">
        <f>(74887.4*2204.622)/1000000</f>
        <v>165.09840956279999</v>
      </c>
      <c r="K13" s="6">
        <f t="shared" si="3"/>
        <v>2295.8990418770004</v>
      </c>
      <c r="L13" s="5">
        <v>2465.8910000000001</v>
      </c>
      <c r="N13" s="111"/>
    </row>
    <row r="14" spans="1:14" ht="13.8">
      <c r="A14" s="16" t="s">
        <v>43</v>
      </c>
      <c r="B14" s="5">
        <f t="shared" si="4"/>
        <v>2465.8910000000001</v>
      </c>
      <c r="C14" s="6">
        <v>2277.355</v>
      </c>
      <c r="D14" s="6">
        <f>(7352.3*2204.622)/1000000</f>
        <v>16.209042330599999</v>
      </c>
      <c r="E14" s="6">
        <f t="shared" si="0"/>
        <v>4759.4550423306</v>
      </c>
      <c r="F14" s="57"/>
      <c r="G14" s="5">
        <f t="shared" si="1"/>
        <v>1975.1484729870001</v>
      </c>
      <c r="H14" s="6">
        <v>791.38699999999994</v>
      </c>
      <c r="I14" s="6">
        <f t="shared" si="2"/>
        <v>1183.7614729870002</v>
      </c>
      <c r="J14" s="6">
        <f>(128993.8*2204.622)/1000000</f>
        <v>284.38256934359998</v>
      </c>
      <c r="K14" s="6">
        <f t="shared" si="3"/>
        <v>2259.5310423306</v>
      </c>
      <c r="L14" s="5">
        <v>2499.924</v>
      </c>
      <c r="N14" s="111"/>
    </row>
    <row r="15" spans="1:14" ht="13.8">
      <c r="A15" s="16" t="s">
        <v>44</v>
      </c>
      <c r="B15" s="5">
        <f t="shared" si="4"/>
        <v>2499.924</v>
      </c>
      <c r="C15" s="6">
        <v>2064.1990000000001</v>
      </c>
      <c r="D15" s="6">
        <f>(9762.4*2204.622)/1000000</f>
        <v>21.522401812799998</v>
      </c>
      <c r="E15" s="6">
        <f t="shared" si="0"/>
        <v>4585.6454018127997</v>
      </c>
      <c r="F15" s="57"/>
      <c r="G15" s="5">
        <f t="shared" si="1"/>
        <v>1783.8920882499997</v>
      </c>
      <c r="H15" s="6">
        <v>740.60299999999995</v>
      </c>
      <c r="I15" s="6">
        <f t="shared" si="2"/>
        <v>1043.2890882499996</v>
      </c>
      <c r="J15" s="6">
        <f>(106887.4*2204.622)/1000000</f>
        <v>235.64631356279995</v>
      </c>
      <c r="K15" s="6">
        <f t="shared" si="3"/>
        <v>2019.5384018127997</v>
      </c>
      <c r="L15" s="5">
        <v>2566.107</v>
      </c>
      <c r="N15" s="111"/>
    </row>
    <row r="16" spans="1:14" ht="13.8">
      <c r="A16" s="16" t="s">
        <v>46</v>
      </c>
      <c r="B16" s="5">
        <f t="shared" si="4"/>
        <v>2566.107</v>
      </c>
      <c r="C16" s="6">
        <v>2277.5410000000002</v>
      </c>
      <c r="D16" s="6">
        <f>(10063.7*2204.622)/1000000</f>
        <v>22.1866544214</v>
      </c>
      <c r="E16" s="6">
        <f t="shared" ref="E16:E22" si="5">SUM(B16:D16)</f>
        <v>4865.8346544214</v>
      </c>
      <c r="F16" s="57"/>
      <c r="G16" s="5">
        <f t="shared" si="1"/>
        <v>2165.6971246715998</v>
      </c>
      <c r="H16" s="6">
        <v>908.29</v>
      </c>
      <c r="I16" s="6">
        <f t="shared" si="2"/>
        <v>1257.4071246715998</v>
      </c>
      <c r="J16" s="6">
        <f>(120845.9*2204.622)/1000000</f>
        <v>266.41952974979995</v>
      </c>
      <c r="K16" s="6">
        <f t="shared" si="3"/>
        <v>2432.1166544213997</v>
      </c>
      <c r="L16" s="5">
        <v>2433.7180000000003</v>
      </c>
      <c r="N16" s="111"/>
    </row>
    <row r="17" spans="1:14" ht="13.8">
      <c r="A17" s="16" t="s">
        <v>47</v>
      </c>
      <c r="B17" s="5">
        <f t="shared" si="4"/>
        <v>2433.7180000000003</v>
      </c>
      <c r="C17" s="6">
        <v>2143.1179999999999</v>
      </c>
      <c r="D17" s="6">
        <f>(10668.4*2204.622)/1000000</f>
        <v>23.519789344799999</v>
      </c>
      <c r="E17" s="6">
        <f t="shared" si="5"/>
        <v>4600.3557893448005</v>
      </c>
      <c r="F17" s="57"/>
      <c r="G17" s="5">
        <f t="shared" si="1"/>
        <v>2008.0906443672006</v>
      </c>
      <c r="H17" s="6">
        <v>838.9</v>
      </c>
      <c r="I17" s="6">
        <f t="shared" si="2"/>
        <v>1169.1906443672005</v>
      </c>
      <c r="J17" s="6">
        <f>(76240.8*2204.622)/1000000</f>
        <v>168.0821449776</v>
      </c>
      <c r="K17" s="6">
        <f t="shared" si="3"/>
        <v>2176.1727893448005</v>
      </c>
      <c r="L17" s="5">
        <v>2424.183</v>
      </c>
      <c r="N17" s="111"/>
    </row>
    <row r="18" spans="1:14" ht="13.8">
      <c r="A18" s="16" t="s">
        <v>48</v>
      </c>
      <c r="B18" s="5">
        <f t="shared" si="4"/>
        <v>2424.183</v>
      </c>
      <c r="C18" s="6">
        <v>2158.7739999999999</v>
      </c>
      <c r="D18" s="112">
        <f>(11311.9*2204.622)/1000000</f>
        <v>24.938463601799999</v>
      </c>
      <c r="E18" s="6">
        <f t="shared" si="5"/>
        <v>4607.8954636018007</v>
      </c>
      <c r="F18" s="57"/>
      <c r="G18" s="5">
        <f t="shared" si="1"/>
        <v>2149.6321321876007</v>
      </c>
      <c r="H18" s="6">
        <v>855.57100000000003</v>
      </c>
      <c r="I18" s="6">
        <f t="shared" si="2"/>
        <v>1294.0611321876008</v>
      </c>
      <c r="J18" s="112">
        <f>(33516.1*2204.622)/1000000</f>
        <v>73.890331414199991</v>
      </c>
      <c r="K18" s="6">
        <f t="shared" si="3"/>
        <v>2223.5224636018006</v>
      </c>
      <c r="L18" s="5">
        <v>2384.373</v>
      </c>
      <c r="N18" s="111"/>
    </row>
    <row r="19" spans="1:14" ht="13.8">
      <c r="A19" s="16" t="s">
        <v>50</v>
      </c>
      <c r="B19" s="5">
        <f t="shared" si="4"/>
        <v>2384.373</v>
      </c>
      <c r="C19" s="6">
        <v>2068.578</v>
      </c>
      <c r="D19" s="112">
        <f>(10963.3*2204.622)/1000000</f>
        <v>24.169932372599998</v>
      </c>
      <c r="E19" s="6">
        <f t="shared" si="5"/>
        <v>4477.1209323725998</v>
      </c>
      <c r="F19" s="57"/>
      <c r="G19" s="5">
        <f t="shared" si="1"/>
        <v>2088.4572126891999</v>
      </c>
      <c r="H19" s="6">
        <v>809.79899999999998</v>
      </c>
      <c r="I19" s="6">
        <f t="shared" si="2"/>
        <v>1278.6582126891999</v>
      </c>
      <c r="J19" s="112">
        <f>(33184.7*2204.622)/1000000</f>
        <v>73.159719683399985</v>
      </c>
      <c r="K19" s="6">
        <f t="shared" si="3"/>
        <v>2161.6169323725999</v>
      </c>
      <c r="L19" s="5">
        <v>2315.5039999999999</v>
      </c>
    </row>
    <row r="20" spans="1:14" ht="13.8">
      <c r="A20" s="16" t="s">
        <v>51</v>
      </c>
      <c r="B20" s="5">
        <f t="shared" si="4"/>
        <v>2315.5039999999999</v>
      </c>
      <c r="C20" s="6">
        <v>2169.9299999999998</v>
      </c>
      <c r="D20" s="112">
        <f>(11391.7*2204.622)/1000000</f>
        <v>25.114392437399999</v>
      </c>
      <c r="E20" s="6">
        <f t="shared" si="5"/>
        <v>4510.5483924373993</v>
      </c>
      <c r="F20" s="57"/>
      <c r="G20" s="5">
        <f t="shared" si="1"/>
        <v>2125.6014242047995</v>
      </c>
      <c r="H20" s="6">
        <v>956.48800000000006</v>
      </c>
      <c r="I20" s="6">
        <f t="shared" si="2"/>
        <v>1169.1134242047995</v>
      </c>
      <c r="J20" s="112">
        <f>(53593.3*2204.622)/1000000</f>
        <v>118.1529682326</v>
      </c>
      <c r="K20" s="6">
        <f t="shared" si="3"/>
        <v>2243.7543924373995</v>
      </c>
      <c r="L20" s="5">
        <v>2266.7939999999999</v>
      </c>
    </row>
    <row r="21" spans="1:14" ht="13.8">
      <c r="A21" s="16" t="s">
        <v>52</v>
      </c>
      <c r="B21" s="5">
        <f t="shared" si="4"/>
        <v>2266.7939999999999</v>
      </c>
      <c r="C21" s="6">
        <v>2095.5810000000001</v>
      </c>
      <c r="D21" s="112">
        <f>(9641.3*2204.622)/1000000</f>
        <v>21.2554220886</v>
      </c>
      <c r="E21" s="6">
        <f t="shared" si="5"/>
        <v>4383.6304220886004</v>
      </c>
      <c r="F21" s="57"/>
      <c r="G21" s="5">
        <f t="shared" si="1"/>
        <v>2222.8252080034008</v>
      </c>
      <c r="H21" s="6">
        <v>924.71799999999996</v>
      </c>
      <c r="I21" s="6">
        <f t="shared" si="2"/>
        <v>1298.107208003401</v>
      </c>
      <c r="J21" s="112">
        <f>(25896.6*2204.622)/1000000</f>
        <v>57.092214085199991</v>
      </c>
      <c r="K21" s="6">
        <f t="shared" si="3"/>
        <v>2279.9174220886007</v>
      </c>
      <c r="L21" s="5">
        <v>2103.7129999999997</v>
      </c>
    </row>
    <row r="22" spans="1:14" ht="13.8">
      <c r="A22" s="16" t="s">
        <v>38</v>
      </c>
      <c r="B22" s="5">
        <f t="shared" si="4"/>
        <v>2103.7129999999997</v>
      </c>
      <c r="C22" s="6">
        <v>1992.9639999999999</v>
      </c>
      <c r="D22" s="112">
        <f>(10329.4*2204.622)/1000000</f>
        <v>22.772422486799996</v>
      </c>
      <c r="E22" s="6">
        <f t="shared" si="5"/>
        <v>4119.4494224867994</v>
      </c>
      <c r="F22" s="57"/>
      <c r="G22" s="5">
        <f t="shared" si="1"/>
        <v>2083.2250596881995</v>
      </c>
      <c r="H22" s="6">
        <v>933.65499999999997</v>
      </c>
      <c r="I22" s="6">
        <f t="shared" si="2"/>
        <v>1149.5700596881995</v>
      </c>
      <c r="J22" s="112">
        <f>(20446.3*2204.622)/1000000</f>
        <v>45.076362798599995</v>
      </c>
      <c r="K22" s="6">
        <f t="shared" si="3"/>
        <v>2128.3014224867993</v>
      </c>
      <c r="L22" s="5">
        <v>1991.1480000000001</v>
      </c>
    </row>
    <row r="23" spans="1:14" ht="13.8">
      <c r="A23" s="16" t="s">
        <v>28</v>
      </c>
      <c r="B23" s="5"/>
      <c r="C23" s="6">
        <f>SUM(C11:C22)</f>
        <v>26155.173000000003</v>
      </c>
      <c r="D23" s="6">
        <f>(137569.3*2204.622)/1000000</f>
        <v>303.28830530459993</v>
      </c>
      <c r="E23" s="6">
        <f>B11+C23+D23</f>
        <v>28589.694305304602</v>
      </c>
      <c r="F23" s="5"/>
      <c r="G23" s="5">
        <f>SUM(G11:G22)</f>
        <v>24825.102953291404</v>
      </c>
      <c r="H23" s="6">
        <f>SUM(H11:H22)</f>
        <v>10348.1917128</v>
      </c>
      <c r="I23" s="6">
        <f>SUM(I11:I22)</f>
        <v>14476.911240491401</v>
      </c>
      <c r="J23" s="6">
        <f>(804420.5*2204.622)/1000000</f>
        <v>1773.4431315509999</v>
      </c>
      <c r="K23" s="5">
        <f>SUM(K11:K22)</f>
        <v>26598.546305304601</v>
      </c>
      <c r="L23" s="5"/>
    </row>
    <row r="24" spans="1:14" ht="13.8">
      <c r="A24" s="16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6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6" t="s">
        <v>39</v>
      </c>
      <c r="B26" s="5">
        <f>L22</f>
        <v>1991.1480000000001</v>
      </c>
      <c r="C26" s="6">
        <v>2338.085</v>
      </c>
      <c r="D26" s="6">
        <f>(13492.7*2204.622)/1000000</f>
        <v>29.746303259399998</v>
      </c>
      <c r="E26" s="6">
        <f t="shared" ref="E26:E30" si="6">SUM(B26:D26)</f>
        <v>4358.9793032593998</v>
      </c>
      <c r="F26" s="5"/>
      <c r="G26" s="5">
        <f t="shared" ref="G26:G30" si="7">K26-J26</f>
        <v>2242.2710449107999</v>
      </c>
      <c r="H26" s="6">
        <v>906.40899999999999</v>
      </c>
      <c r="I26" s="6">
        <f t="shared" ref="I26:I29" si="8">G26-H26</f>
        <v>1335.8620449107998</v>
      </c>
      <c r="J26" s="6">
        <f>(10471.3*2204.622)/1000000</f>
        <v>23.085258348599996</v>
      </c>
      <c r="K26" s="6">
        <f t="shared" ref="K26:K30" si="9">E26-L26</f>
        <v>2265.3563032593997</v>
      </c>
      <c r="L26" s="5">
        <v>2093.623</v>
      </c>
    </row>
    <row r="27" spans="1:14" ht="13.8">
      <c r="A27" s="16" t="s">
        <v>40</v>
      </c>
      <c r="B27" s="5">
        <f>L26</f>
        <v>2093.623</v>
      </c>
      <c r="C27" s="6">
        <v>2199.962</v>
      </c>
      <c r="D27" s="6">
        <f>(11744.6*2204.622)/1000000</f>
        <v>25.8924035412</v>
      </c>
      <c r="E27" s="6">
        <f t="shared" si="6"/>
        <v>4319.4774035412001</v>
      </c>
      <c r="F27" s="5"/>
      <c r="G27" s="5">
        <f t="shared" si="7"/>
        <v>2183.7515713444004</v>
      </c>
      <c r="H27" s="6">
        <v>943.34192259999998</v>
      </c>
      <c r="I27" s="6">
        <f t="shared" si="8"/>
        <v>1240.4096487444003</v>
      </c>
      <c r="J27" s="6">
        <f>(10634.4*2204.622)/1000000</f>
        <v>23.444832196799997</v>
      </c>
      <c r="K27" s="6">
        <f t="shared" si="9"/>
        <v>2207.1964035412002</v>
      </c>
      <c r="L27" s="5">
        <v>2112.2809999999999</v>
      </c>
    </row>
    <row r="28" spans="1:14" ht="13.8">
      <c r="A28" s="16" t="s">
        <v>42</v>
      </c>
      <c r="B28" s="5">
        <f>L27</f>
        <v>2112.2809999999999</v>
      </c>
      <c r="C28" s="6">
        <v>2195.3580000000002</v>
      </c>
      <c r="D28" s="6">
        <f>(10252.4*2204.622)/1000000</f>
        <v>22.602666592799999</v>
      </c>
      <c r="E28" s="6">
        <f t="shared" si="6"/>
        <v>4330.2416665928004</v>
      </c>
      <c r="F28" s="5"/>
      <c r="G28" s="5">
        <f t="shared" si="7"/>
        <v>1989.4369064418004</v>
      </c>
      <c r="H28" s="6">
        <v>885.4429075999999</v>
      </c>
      <c r="I28" s="6">
        <f t="shared" si="8"/>
        <v>1103.9939988418005</v>
      </c>
      <c r="J28" s="6">
        <f>(15720.5*2204.622)/1000000</f>
        <v>34.657760150999998</v>
      </c>
      <c r="K28" s="6">
        <f t="shared" si="9"/>
        <v>2024.0946665928004</v>
      </c>
      <c r="L28" s="5">
        <v>2306.1469999999999</v>
      </c>
    </row>
    <row r="29" spans="1:14" ht="13.8">
      <c r="A29" s="16" t="s">
        <v>43</v>
      </c>
      <c r="B29" s="5">
        <f>L28</f>
        <v>2306.1469999999999</v>
      </c>
      <c r="C29" s="6">
        <v>2252.3119999999999</v>
      </c>
      <c r="D29" s="6">
        <f>(11450.2*2204.622)/1000000</f>
        <v>25.243362824400002</v>
      </c>
      <c r="E29" s="6">
        <f t="shared" si="6"/>
        <v>4583.7023628243996</v>
      </c>
      <c r="F29" s="5"/>
      <c r="G29" s="5">
        <f t="shared" si="7"/>
        <v>2211.8930392041998</v>
      </c>
      <c r="H29" s="6">
        <v>940.87400000000002</v>
      </c>
      <c r="I29" s="6">
        <f t="shared" si="8"/>
        <v>1271.0190392041998</v>
      </c>
      <c r="J29" s="6">
        <f>(6989.1*2204.622)/1000000</f>
        <v>15.408323620199999</v>
      </c>
      <c r="K29" s="6">
        <f t="shared" si="9"/>
        <v>2227.3013628243998</v>
      </c>
      <c r="L29" s="5">
        <v>2356.4009999999998</v>
      </c>
    </row>
    <row r="30" spans="1:14" ht="13.8">
      <c r="A30" s="15" t="s">
        <v>44</v>
      </c>
      <c r="B30" s="53">
        <f>L29</f>
        <v>2356.4009999999998</v>
      </c>
      <c r="C30" s="41">
        <v>2091.2179999999998</v>
      </c>
      <c r="D30" s="41">
        <f>(15213.2*2204.622)/1000000</f>
        <v>33.539355410399999</v>
      </c>
      <c r="E30" s="41">
        <f t="shared" si="6"/>
        <v>4481.1583554104</v>
      </c>
      <c r="F30" s="53"/>
      <c r="G30" s="53">
        <f t="shared" si="7"/>
        <v>2093.4374745958003</v>
      </c>
      <c r="H30" s="41" t="s">
        <v>75</v>
      </c>
      <c r="I30" s="41" t="s">
        <v>75</v>
      </c>
      <c r="J30" s="41">
        <f>(11774.3*2204.622)/1000000</f>
        <v>25.957880814599999</v>
      </c>
      <c r="K30" s="41">
        <f t="shared" si="9"/>
        <v>2119.3953554104</v>
      </c>
      <c r="L30" s="53">
        <v>2361.7629999999999</v>
      </c>
    </row>
    <row r="31" spans="1:14" ht="16.2">
      <c r="A31" s="49" t="s">
        <v>76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4" ht="14.4">
      <c r="A32" s="16" t="s">
        <v>68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1" ht="13.8">
      <c r="A33" s="21" t="s">
        <v>56</v>
      </c>
      <c r="B33" s="43">
        <f>Contents!A16</f>
        <v>45027</v>
      </c>
      <c r="K33" s="40"/>
    </row>
    <row r="34" spans="1:11">
      <c r="E34" s="40"/>
    </row>
  </sheetData>
  <mergeCells count="3">
    <mergeCell ref="B5:L5"/>
    <mergeCell ref="G2:I2"/>
    <mergeCell ref="B2:E2"/>
  </mergeCells>
  <phoneticPr fontId="26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customWidth="1"/>
    <col min="2" max="2" width="13.109375" customWidth="1"/>
    <col min="3" max="3" width="12.109375" customWidth="1"/>
    <col min="4" max="4" width="13.44140625" customWidth="1"/>
    <col min="5" max="5" width="15.33203125" customWidth="1"/>
    <col min="6" max="6" width="11.44140625" customWidth="1"/>
    <col min="7" max="7" width="11.6640625" customWidth="1"/>
    <col min="8" max="8" width="8.6640625" customWidth="1"/>
    <col min="9" max="9" width="9.6640625" customWidth="1"/>
    <col min="10" max="11" width="7.6640625" customWidth="1"/>
    <col min="12" max="12" width="8.5546875" customWidth="1"/>
    <col min="13" max="13" width="9.5546875" customWidth="1"/>
    <col min="14" max="15" width="7.5546875" customWidth="1"/>
    <col min="19" max="19" width="17.44140625" bestFit="1" customWidth="1"/>
    <col min="21" max="21" width="28.33203125" bestFit="1" customWidth="1"/>
  </cols>
  <sheetData>
    <row r="1" spans="1:15" ht="13.8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</row>
    <row r="2" spans="1:15" ht="13.8">
      <c r="A2" s="16"/>
      <c r="B2" s="170" t="s">
        <v>57</v>
      </c>
      <c r="C2" s="170"/>
      <c r="D2" s="170"/>
      <c r="E2" s="170"/>
      <c r="F2" s="82"/>
      <c r="G2" s="170" t="s">
        <v>58</v>
      </c>
      <c r="H2" s="170"/>
      <c r="I2" s="170"/>
      <c r="J2" s="170"/>
      <c r="K2" s="82"/>
      <c r="L2" s="16"/>
      <c r="M2" s="16"/>
      <c r="N2" s="16"/>
      <c r="O2" s="16"/>
    </row>
    <row r="3" spans="1:15" ht="13.8">
      <c r="A3" s="16" t="s">
        <v>17</v>
      </c>
      <c r="B3" s="21" t="s">
        <v>69</v>
      </c>
      <c r="C3" s="21"/>
      <c r="D3" s="21"/>
      <c r="E3" s="21"/>
      <c r="F3" s="21"/>
      <c r="G3" s="21"/>
      <c r="H3" s="21"/>
      <c r="I3" s="21"/>
      <c r="J3" s="21"/>
      <c r="K3" s="18" t="s">
        <v>59</v>
      </c>
      <c r="L3" s="16"/>
      <c r="M3" s="16"/>
      <c r="N3" s="16"/>
      <c r="O3" s="16"/>
    </row>
    <row r="4" spans="1:15" ht="13.8">
      <c r="A4" s="22" t="s">
        <v>77</v>
      </c>
      <c r="B4" s="24" t="s">
        <v>78</v>
      </c>
      <c r="C4" s="66" t="s">
        <v>26</v>
      </c>
      <c r="D4" s="26" t="s">
        <v>70</v>
      </c>
      <c r="E4" s="24" t="s">
        <v>79</v>
      </c>
      <c r="F4" s="25"/>
      <c r="G4" s="24" t="s">
        <v>80</v>
      </c>
      <c r="H4" s="24" t="s">
        <v>30</v>
      </c>
      <c r="I4" s="24" t="s">
        <v>81</v>
      </c>
      <c r="J4" s="24" t="s">
        <v>82</v>
      </c>
      <c r="K4" s="24" t="s">
        <v>61</v>
      </c>
      <c r="L4" s="16"/>
      <c r="M4" s="16"/>
      <c r="N4" s="16"/>
      <c r="O4" s="16"/>
    </row>
    <row r="5" spans="1:15" ht="14.4">
      <c r="A5" s="16"/>
      <c r="B5" s="175" t="s">
        <v>83</v>
      </c>
      <c r="C5" s="175"/>
      <c r="D5" s="175"/>
      <c r="E5" s="175"/>
      <c r="F5" s="175"/>
      <c r="G5" s="175"/>
      <c r="H5" s="175"/>
      <c r="I5" s="175"/>
      <c r="J5" s="175"/>
      <c r="K5" s="175"/>
      <c r="L5" s="16"/>
      <c r="M5" s="16"/>
      <c r="N5" s="16"/>
      <c r="O5" s="16"/>
    </row>
    <row r="6" spans="1:15" ht="13.8">
      <c r="A6" s="16" t="s">
        <v>34</v>
      </c>
      <c r="B6" s="84">
        <v>456.0068619717149</v>
      </c>
      <c r="C6" s="84">
        <v>4468</v>
      </c>
      <c r="D6" s="85">
        <v>1</v>
      </c>
      <c r="E6" s="84">
        <f>B6+C6+D6</f>
        <v>4925.0068619717149</v>
      </c>
      <c r="F6" s="86"/>
      <c r="G6" s="84">
        <v>1562.7429999999999</v>
      </c>
      <c r="H6" s="87">
        <v>279.55399999999997</v>
      </c>
      <c r="I6" s="84">
        <f>J6-G6-H6</f>
        <v>2687.0673090269106</v>
      </c>
      <c r="J6" s="84">
        <f>E6-K6</f>
        <v>4529.3643090269106</v>
      </c>
      <c r="K6" s="84">
        <v>395.64255294480427</v>
      </c>
      <c r="L6" s="16"/>
      <c r="M6" s="16"/>
      <c r="N6" s="16"/>
      <c r="O6" s="16"/>
    </row>
    <row r="7" spans="1:15" ht="16.2">
      <c r="A7" s="16" t="s">
        <v>35</v>
      </c>
      <c r="B7" s="84">
        <f>K6</f>
        <v>395.64255294480427</v>
      </c>
      <c r="C7" s="84">
        <v>5323</v>
      </c>
      <c r="D7" s="85">
        <v>24.765738432900992</v>
      </c>
      <c r="E7" s="84">
        <f>B7+C7+D7</f>
        <v>5743.4082913777056</v>
      </c>
      <c r="F7" s="86"/>
      <c r="G7" s="84">
        <v>1556.9839999999999</v>
      </c>
      <c r="H7" s="87">
        <v>297.69790855776995</v>
      </c>
      <c r="I7" s="84">
        <f>J7-G7-H7</f>
        <v>3493.8003828199353</v>
      </c>
      <c r="J7" s="84">
        <f>E7-K7</f>
        <v>5348.4822913777052</v>
      </c>
      <c r="K7" s="84">
        <v>394.92599999999999</v>
      </c>
      <c r="L7" s="16"/>
      <c r="M7" s="16"/>
      <c r="N7" s="16"/>
      <c r="O7" s="16"/>
    </row>
    <row r="8" spans="1:15" ht="16.2">
      <c r="A8" s="15" t="s">
        <v>36</v>
      </c>
      <c r="B8" s="88">
        <f>K7</f>
        <v>394.92599999999999</v>
      </c>
      <c r="C8" s="88">
        <v>4455</v>
      </c>
      <c r="D8" s="89">
        <v>100</v>
      </c>
      <c r="E8" s="88">
        <f>B8+C8+D8</f>
        <v>4949.9260000000004</v>
      </c>
      <c r="F8" s="90"/>
      <c r="G8" s="88">
        <v>1500</v>
      </c>
      <c r="H8" s="91">
        <v>175</v>
      </c>
      <c r="I8" s="88">
        <f>J8-G8-H8</f>
        <v>2851.999617180064</v>
      </c>
      <c r="J8" s="88">
        <f>E8-K8</f>
        <v>4526.999617180064</v>
      </c>
      <c r="K8" s="88">
        <v>422.92638281993641</v>
      </c>
      <c r="L8" s="16"/>
      <c r="M8" s="16"/>
      <c r="N8" s="16"/>
      <c r="O8" s="16"/>
    </row>
    <row r="9" spans="1:15" ht="16.2">
      <c r="A9" s="49" t="s">
        <v>84</v>
      </c>
      <c r="B9" s="16"/>
      <c r="C9" s="83"/>
      <c r="D9" s="83"/>
      <c r="E9" s="83"/>
      <c r="F9" s="83"/>
      <c r="G9" s="92"/>
      <c r="H9" s="83"/>
      <c r="I9" s="83"/>
      <c r="J9" s="83"/>
      <c r="K9" s="16"/>
      <c r="L9" s="16"/>
      <c r="M9" s="16"/>
      <c r="N9" s="16"/>
      <c r="O9" s="16"/>
    </row>
    <row r="10" spans="1:15" ht="14.4">
      <c r="A10" s="16" t="s">
        <v>205</v>
      </c>
      <c r="B10" s="34"/>
      <c r="C10" s="39"/>
      <c r="D10" s="16"/>
      <c r="E10" s="34"/>
      <c r="F10" s="34"/>
      <c r="G10" s="34"/>
      <c r="H10" s="34"/>
      <c r="I10" s="34"/>
      <c r="J10" s="34"/>
      <c r="K10" s="16"/>
      <c r="L10" s="16"/>
      <c r="M10" s="16"/>
      <c r="N10" s="16"/>
      <c r="O10" s="16"/>
    </row>
    <row r="11" spans="1:15" ht="14.4">
      <c r="A11" s="16" t="s">
        <v>85</v>
      </c>
      <c r="B11" s="34"/>
      <c r="C11" s="39"/>
      <c r="D11" s="16"/>
      <c r="E11" s="34"/>
      <c r="F11" s="34"/>
      <c r="G11" s="34"/>
      <c r="H11" s="34"/>
      <c r="I11" s="34"/>
      <c r="J11" s="34"/>
      <c r="K11" s="16"/>
      <c r="L11" s="16"/>
      <c r="M11" s="16"/>
      <c r="N11" s="16"/>
      <c r="O11" s="16"/>
    </row>
    <row r="12" spans="1:15" ht="13.8">
      <c r="A12" s="16"/>
      <c r="B12" s="34"/>
      <c r="C12" s="39"/>
      <c r="D12" s="16"/>
      <c r="E12" s="34"/>
      <c r="F12" s="34"/>
      <c r="G12" s="34"/>
      <c r="H12" s="34"/>
      <c r="I12" s="34"/>
      <c r="J12" s="34"/>
      <c r="K12" s="16"/>
      <c r="L12" s="16"/>
      <c r="M12" s="16"/>
      <c r="N12" s="16"/>
      <c r="O12" s="16"/>
    </row>
    <row r="13" spans="1:15" ht="13.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3.8">
      <c r="A14" s="15" t="s">
        <v>5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  <c r="L14" s="16"/>
      <c r="M14" s="16"/>
      <c r="N14" s="16"/>
      <c r="O14" s="16"/>
    </row>
    <row r="15" spans="1:15" ht="13.8">
      <c r="A15" s="16"/>
      <c r="B15" s="170" t="s">
        <v>57</v>
      </c>
      <c r="C15" s="170"/>
      <c r="D15" s="170"/>
      <c r="E15" s="170"/>
      <c r="F15" s="16"/>
      <c r="G15" s="170" t="s">
        <v>58</v>
      </c>
      <c r="H15" s="170"/>
      <c r="I15" s="170"/>
      <c r="J15" s="16"/>
      <c r="K15" s="16"/>
      <c r="L15" s="16"/>
      <c r="M15" s="16"/>
      <c r="N15" s="16"/>
      <c r="O15" s="16"/>
    </row>
    <row r="16" spans="1:15" ht="13.8">
      <c r="A16" s="16" t="s">
        <v>17</v>
      </c>
      <c r="B16" s="18" t="s">
        <v>69</v>
      </c>
      <c r="C16" s="21"/>
      <c r="D16" s="21"/>
      <c r="E16" s="21"/>
      <c r="F16" s="21"/>
      <c r="G16" s="21"/>
      <c r="H16" s="21"/>
      <c r="I16" s="21"/>
      <c r="J16" s="18" t="s">
        <v>59</v>
      </c>
      <c r="K16" s="16"/>
      <c r="L16" s="16"/>
      <c r="M16" s="16"/>
      <c r="N16" s="16"/>
      <c r="O16" s="16"/>
    </row>
    <row r="17" spans="1:15" ht="13.8">
      <c r="A17" s="22" t="s">
        <v>60</v>
      </c>
      <c r="B17" s="24" t="s">
        <v>61</v>
      </c>
      <c r="C17" s="66" t="s">
        <v>26</v>
      </c>
      <c r="D17" s="26" t="s">
        <v>70</v>
      </c>
      <c r="E17" s="24" t="s">
        <v>82</v>
      </c>
      <c r="F17" s="25"/>
      <c r="G17" s="84" t="s">
        <v>86</v>
      </c>
      <c r="H17" s="24" t="s">
        <v>30</v>
      </c>
      <c r="I17" s="26" t="s">
        <v>62</v>
      </c>
      <c r="J17" s="24" t="s">
        <v>61</v>
      </c>
      <c r="K17" s="16"/>
      <c r="L17" s="16"/>
      <c r="M17" s="16"/>
      <c r="N17" s="16"/>
      <c r="O17" s="16"/>
    </row>
    <row r="18" spans="1:15" ht="14.4">
      <c r="A18" s="16"/>
      <c r="B18" s="175" t="s">
        <v>87</v>
      </c>
      <c r="C18" s="175"/>
      <c r="D18" s="175"/>
      <c r="E18" s="175"/>
      <c r="F18" s="175"/>
      <c r="G18" s="175"/>
      <c r="H18" s="175"/>
      <c r="I18" s="175"/>
      <c r="J18" s="175"/>
      <c r="K18" s="16"/>
      <c r="L18" s="16"/>
      <c r="M18" s="16"/>
      <c r="N18" s="16"/>
      <c r="O18" s="16"/>
    </row>
    <row r="19" spans="1:15" ht="13.8">
      <c r="A19" s="16" t="s">
        <v>34</v>
      </c>
      <c r="B19" s="84">
        <v>24.872</v>
      </c>
      <c r="C19" s="87">
        <v>648.57100000000003</v>
      </c>
      <c r="D19" s="85">
        <v>0</v>
      </c>
      <c r="E19" s="87">
        <f>B19+C19+D19</f>
        <v>673.44299999999998</v>
      </c>
      <c r="F19" s="86"/>
      <c r="G19" s="87">
        <v>573.37699999999995</v>
      </c>
      <c r="H19" s="87">
        <v>60.759509638330982</v>
      </c>
      <c r="I19" s="87">
        <f>SUM(G19:H19)</f>
        <v>634.13650963833095</v>
      </c>
      <c r="J19" s="84">
        <v>39.305999999999997</v>
      </c>
      <c r="K19" s="16"/>
      <c r="L19" s="16"/>
      <c r="M19" s="16"/>
      <c r="N19" s="16"/>
      <c r="O19" s="16"/>
    </row>
    <row r="20" spans="1:15" ht="16.2">
      <c r="A20" s="16" t="s">
        <v>35</v>
      </c>
      <c r="B20" s="84">
        <f>J19</f>
        <v>39.305999999999997</v>
      </c>
      <c r="C20" s="87">
        <v>695</v>
      </c>
      <c r="D20" s="117">
        <v>0.10141264051999997</v>
      </c>
      <c r="E20" s="87">
        <f>B20+C20+D20</f>
        <v>734.40741264052008</v>
      </c>
      <c r="F20" s="86"/>
      <c r="G20" s="87">
        <f>E20-J20-H20</f>
        <v>658.743182863843</v>
      </c>
      <c r="H20" s="87">
        <v>53.348229776676988</v>
      </c>
      <c r="I20" s="87">
        <f>SUM(G20:H20)</f>
        <v>712.09141264052005</v>
      </c>
      <c r="J20" s="84">
        <v>22.315999999999999</v>
      </c>
      <c r="K20" s="16"/>
      <c r="L20" s="16"/>
      <c r="M20" s="16"/>
      <c r="N20" s="16"/>
      <c r="O20" s="16"/>
    </row>
    <row r="21" spans="1:15" ht="16.2">
      <c r="A21" s="15" t="s">
        <v>36</v>
      </c>
      <c r="B21" s="88">
        <f>J20</f>
        <v>22.315999999999999</v>
      </c>
      <c r="C21" s="91">
        <v>630</v>
      </c>
      <c r="D21" s="89">
        <v>0</v>
      </c>
      <c r="E21" s="91">
        <f>B21+C21+D21</f>
        <v>652.31600000000003</v>
      </c>
      <c r="F21" s="90"/>
      <c r="G21" s="91">
        <v>552.31600000000003</v>
      </c>
      <c r="H21" s="91">
        <v>60</v>
      </c>
      <c r="I21" s="91">
        <f>SUM(G21:H21)</f>
        <v>612.31600000000003</v>
      </c>
      <c r="J21" s="88">
        <v>40</v>
      </c>
      <c r="K21" s="16"/>
      <c r="L21" s="16"/>
      <c r="M21" s="16"/>
      <c r="N21" s="16"/>
      <c r="O21" s="16"/>
    </row>
    <row r="22" spans="1:15" ht="16.2">
      <c r="A22" s="49" t="s">
        <v>84</v>
      </c>
      <c r="B22" s="16"/>
      <c r="C22" s="83"/>
      <c r="D22" s="83"/>
      <c r="E22" s="83"/>
      <c r="F22" s="83"/>
      <c r="G22" s="83"/>
      <c r="H22" s="83"/>
      <c r="I22" s="16"/>
      <c r="J22" s="16"/>
      <c r="K22" s="16"/>
      <c r="L22" s="16"/>
      <c r="M22" s="16"/>
      <c r="N22" s="16"/>
      <c r="O22" s="16"/>
    </row>
    <row r="23" spans="1:15" ht="14.4">
      <c r="A23" s="16" t="s">
        <v>88</v>
      </c>
      <c r="B23" s="86"/>
      <c r="C23" s="86"/>
      <c r="D23" s="86"/>
      <c r="E23" s="86"/>
      <c r="F23" s="86"/>
      <c r="G23" s="86"/>
      <c r="H23" s="86"/>
      <c r="I23" s="16"/>
      <c r="J23" s="16"/>
      <c r="K23" s="16"/>
      <c r="L23" s="16"/>
      <c r="M23" s="16"/>
      <c r="N23" s="16"/>
      <c r="O23" s="16"/>
    </row>
    <row r="24" spans="1:15" ht="13.8">
      <c r="A24" s="16"/>
      <c r="B24" s="34"/>
      <c r="C24" s="34"/>
      <c r="D24" s="34"/>
      <c r="E24" s="34"/>
      <c r="F24" s="34"/>
      <c r="G24" s="34"/>
      <c r="H24" s="34"/>
      <c r="I24" s="16"/>
      <c r="J24" s="16"/>
      <c r="K24" s="16"/>
      <c r="L24" s="16"/>
      <c r="M24" s="16"/>
      <c r="N24" s="16"/>
      <c r="O24" s="16"/>
    </row>
    <row r="25" spans="1:15" ht="13.8">
      <c r="A25" s="16"/>
      <c r="B25" s="34"/>
      <c r="C25" s="39"/>
      <c r="D25" s="34"/>
      <c r="E25" s="34"/>
      <c r="F25" s="34"/>
      <c r="G25" s="34"/>
      <c r="H25" s="34"/>
      <c r="I25" s="16"/>
      <c r="J25" s="16"/>
      <c r="K25" s="16"/>
      <c r="L25" s="16"/>
      <c r="M25" s="16"/>
      <c r="N25" s="16"/>
      <c r="O25" s="16"/>
    </row>
    <row r="26" spans="1:15" ht="13.8">
      <c r="A26" s="15" t="s">
        <v>6</v>
      </c>
      <c r="B26" s="15"/>
      <c r="C26" s="15"/>
      <c r="D26" s="15"/>
      <c r="E26" s="15"/>
      <c r="F26" s="15"/>
      <c r="G26" s="15"/>
      <c r="H26" s="15"/>
      <c r="I26" s="16"/>
      <c r="J26" s="15"/>
      <c r="K26" s="16"/>
      <c r="L26" s="16"/>
      <c r="M26" s="16"/>
      <c r="N26" s="16"/>
      <c r="O26" s="16"/>
    </row>
    <row r="27" spans="1:15" ht="13.8">
      <c r="A27" s="16"/>
      <c r="B27" s="170" t="s">
        <v>57</v>
      </c>
      <c r="C27" s="170"/>
      <c r="D27" s="170"/>
      <c r="E27" s="170"/>
      <c r="F27" s="16"/>
      <c r="G27" s="170" t="s">
        <v>58</v>
      </c>
      <c r="H27" s="170"/>
      <c r="I27" s="170"/>
      <c r="J27" s="16"/>
      <c r="K27" s="16"/>
      <c r="L27" s="16"/>
      <c r="M27" s="16"/>
      <c r="N27" s="16"/>
      <c r="O27" s="16"/>
    </row>
    <row r="28" spans="1:15" ht="13.8">
      <c r="A28" s="16" t="s">
        <v>17</v>
      </c>
      <c r="B28" s="18" t="s">
        <v>69</v>
      </c>
      <c r="C28" s="21"/>
      <c r="D28" s="21"/>
      <c r="E28" s="21"/>
      <c r="F28" s="21"/>
      <c r="G28" s="21"/>
      <c r="H28" s="21"/>
      <c r="I28" s="21"/>
      <c r="J28" s="18" t="s">
        <v>59</v>
      </c>
      <c r="K28" s="16"/>
      <c r="L28" s="16"/>
      <c r="M28" s="16"/>
      <c r="N28" s="16"/>
      <c r="O28" s="16"/>
    </row>
    <row r="29" spans="1:15" ht="13.8">
      <c r="A29" s="22" t="s">
        <v>60</v>
      </c>
      <c r="B29" s="24" t="s">
        <v>61</v>
      </c>
      <c r="C29" s="24" t="s">
        <v>26</v>
      </c>
      <c r="D29" s="26" t="s">
        <v>70</v>
      </c>
      <c r="E29" s="24" t="s">
        <v>82</v>
      </c>
      <c r="F29" s="25"/>
      <c r="G29" s="24" t="s">
        <v>63</v>
      </c>
      <c r="H29" s="24" t="s">
        <v>30</v>
      </c>
      <c r="I29" s="24" t="s">
        <v>62</v>
      </c>
      <c r="J29" s="24" t="s">
        <v>65</v>
      </c>
      <c r="K29" s="16"/>
      <c r="L29" s="16"/>
      <c r="M29" s="16"/>
      <c r="N29" s="16"/>
      <c r="O29" s="16"/>
    </row>
    <row r="30" spans="1:15" ht="14.4">
      <c r="A30" s="16"/>
      <c r="B30" s="175" t="s">
        <v>74</v>
      </c>
      <c r="C30" s="175"/>
      <c r="D30" s="175"/>
      <c r="E30" s="175"/>
      <c r="F30" s="175"/>
      <c r="G30" s="175"/>
      <c r="H30" s="175"/>
      <c r="I30" s="175"/>
      <c r="J30" s="175"/>
      <c r="K30" s="16"/>
      <c r="L30" s="16"/>
      <c r="M30" s="16"/>
      <c r="N30" s="16"/>
      <c r="O30" s="16"/>
    </row>
    <row r="31" spans="1:15" ht="13.8">
      <c r="A31" s="16" t="s">
        <v>34</v>
      </c>
      <c r="B31" s="85">
        <v>44.537999999999997</v>
      </c>
      <c r="C31" s="87">
        <v>399.91800000000001</v>
      </c>
      <c r="D31" s="85">
        <v>21.365218272682</v>
      </c>
      <c r="E31" s="93">
        <f>B31+C31+D31</f>
        <v>465.82121827268202</v>
      </c>
      <c r="F31" s="86"/>
      <c r="G31" s="87">
        <f>I31-H31</f>
        <v>354.93667903513006</v>
      </c>
      <c r="H31" s="87">
        <v>62.676539237551999</v>
      </c>
      <c r="I31" s="87">
        <f>E31-J31</f>
        <v>417.61321827268205</v>
      </c>
      <c r="J31" s="87">
        <v>48.207999999999998</v>
      </c>
      <c r="K31" s="16"/>
      <c r="L31" s="16"/>
      <c r="M31" s="16"/>
      <c r="N31" s="16"/>
      <c r="O31" s="16"/>
    </row>
    <row r="32" spans="1:15" ht="16.2">
      <c r="A32" s="16" t="s">
        <v>35</v>
      </c>
      <c r="B32" s="85">
        <f>J31</f>
        <v>48.207999999999998</v>
      </c>
      <c r="C32" s="87">
        <v>430</v>
      </c>
      <c r="D32" s="85">
        <v>24.878284417651997</v>
      </c>
      <c r="E32" s="93">
        <f>B32+C32+D32</f>
        <v>503.086284417652</v>
      </c>
      <c r="F32" s="86"/>
      <c r="G32" s="87">
        <f>I32-H32</f>
        <v>325.59072038149202</v>
      </c>
      <c r="H32" s="87">
        <v>127.79756403616</v>
      </c>
      <c r="I32" s="87">
        <f>E32-J32</f>
        <v>453.38828441765202</v>
      </c>
      <c r="J32" s="87">
        <v>49.698</v>
      </c>
      <c r="K32" s="16"/>
      <c r="L32" s="16"/>
      <c r="M32" s="16"/>
      <c r="N32" s="16"/>
      <c r="O32" s="16"/>
    </row>
    <row r="33" spans="1:17" ht="16.2">
      <c r="A33" s="15" t="s">
        <v>36</v>
      </c>
      <c r="B33" s="89">
        <f>J32</f>
        <v>49.698</v>
      </c>
      <c r="C33" s="91">
        <v>400</v>
      </c>
      <c r="D33" s="89">
        <v>20</v>
      </c>
      <c r="E33" s="94">
        <f>B33+C33+D33</f>
        <v>469.69799999999998</v>
      </c>
      <c r="F33" s="90"/>
      <c r="G33" s="91">
        <f>I33-H33</f>
        <v>354.69799999999998</v>
      </c>
      <c r="H33" s="91">
        <v>65</v>
      </c>
      <c r="I33" s="91">
        <f>E33-J33</f>
        <v>419.69799999999998</v>
      </c>
      <c r="J33" s="91">
        <v>50</v>
      </c>
      <c r="K33" s="16"/>
      <c r="L33" s="16"/>
      <c r="M33" s="16"/>
      <c r="N33" s="16"/>
      <c r="O33" s="16"/>
    </row>
    <row r="34" spans="1:17" ht="16.2">
      <c r="A34" s="49" t="s">
        <v>84</v>
      </c>
      <c r="B34" s="16"/>
      <c r="C34" s="83"/>
      <c r="D34" s="83"/>
      <c r="E34" s="83"/>
      <c r="F34" s="83"/>
      <c r="G34" s="83"/>
      <c r="H34" s="83"/>
      <c r="I34" s="16"/>
      <c r="J34" s="16"/>
      <c r="K34" s="16"/>
      <c r="L34" s="16"/>
      <c r="M34" s="16"/>
      <c r="N34" s="16"/>
      <c r="O34" s="16"/>
    </row>
    <row r="35" spans="1:17" ht="14.4">
      <c r="A35" s="16" t="s">
        <v>88</v>
      </c>
      <c r="B35" s="34"/>
      <c r="C35" s="39"/>
      <c r="D35" s="34"/>
      <c r="E35" s="34"/>
      <c r="F35" s="34"/>
      <c r="G35" s="34"/>
      <c r="H35" s="34"/>
      <c r="I35" s="16"/>
      <c r="J35" s="16"/>
      <c r="K35" s="16"/>
      <c r="L35" s="16"/>
      <c r="M35" s="16"/>
      <c r="N35" s="16"/>
      <c r="O35" s="16"/>
    </row>
    <row r="36" spans="1:17" ht="13.8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7" ht="13.8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7" ht="13.8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</row>
    <row r="39" spans="1:17" ht="13.8">
      <c r="A39" s="16"/>
      <c r="B39" s="170" t="s">
        <v>13</v>
      </c>
      <c r="C39" s="170"/>
      <c r="D39" s="18" t="s">
        <v>14</v>
      </c>
      <c r="E39" s="170" t="s">
        <v>15</v>
      </c>
      <c r="F39" s="170"/>
      <c r="G39" s="170"/>
      <c r="H39" s="170"/>
      <c r="I39" s="16"/>
      <c r="J39" s="170" t="s">
        <v>58</v>
      </c>
      <c r="K39" s="170"/>
      <c r="L39" s="170"/>
      <c r="M39" s="170"/>
      <c r="N39" s="170"/>
      <c r="O39" s="82"/>
    </row>
    <row r="40" spans="1:17" ht="13.8">
      <c r="A40" s="16" t="s">
        <v>17</v>
      </c>
      <c r="B40" s="18" t="s">
        <v>18</v>
      </c>
      <c r="C40" s="18" t="s">
        <v>19</v>
      </c>
      <c r="D40" s="16"/>
      <c r="E40" s="18" t="s">
        <v>69</v>
      </c>
      <c r="F40" s="18"/>
      <c r="G40" s="18"/>
      <c r="H40" s="18"/>
      <c r="I40" s="16"/>
      <c r="J40" s="63" t="s">
        <v>86</v>
      </c>
      <c r="K40" s="18"/>
      <c r="L40" s="18" t="s">
        <v>22</v>
      </c>
      <c r="M40" s="18"/>
      <c r="N40" s="18"/>
      <c r="O40" s="18" t="s">
        <v>59</v>
      </c>
    </row>
    <row r="41" spans="1:17" ht="13.8">
      <c r="A41" s="22" t="s">
        <v>77</v>
      </c>
      <c r="B41" s="23"/>
      <c r="C41" s="23"/>
      <c r="D41" s="23"/>
      <c r="E41" s="24" t="s">
        <v>61</v>
      </c>
      <c r="F41" s="24" t="s">
        <v>26</v>
      </c>
      <c r="G41" s="24" t="s">
        <v>70</v>
      </c>
      <c r="H41" s="24" t="s">
        <v>82</v>
      </c>
      <c r="I41" s="24"/>
      <c r="J41" s="24" t="s">
        <v>89</v>
      </c>
      <c r="K41" s="24" t="s">
        <v>80</v>
      </c>
      <c r="L41" s="24" t="s">
        <v>29</v>
      </c>
      <c r="M41" s="26" t="s">
        <v>30</v>
      </c>
      <c r="N41" s="24" t="s">
        <v>62</v>
      </c>
      <c r="O41" s="24" t="s">
        <v>65</v>
      </c>
    </row>
    <row r="42" spans="1:17" ht="14.4">
      <c r="A42" s="16"/>
      <c r="B42" s="173" t="s">
        <v>90</v>
      </c>
      <c r="C42" s="174"/>
      <c r="D42" s="95" t="s">
        <v>91</v>
      </c>
      <c r="E42" s="176" t="s">
        <v>92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4"/>
    </row>
    <row r="43" spans="1:17" ht="13.8">
      <c r="A43" s="16"/>
      <c r="B43" s="18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7" ht="13.8">
      <c r="A44" s="16" t="s">
        <v>34</v>
      </c>
      <c r="B44" s="84">
        <v>1662.5</v>
      </c>
      <c r="C44" s="84">
        <v>1615.2</v>
      </c>
      <c r="D44" s="84">
        <f>F44*1000/C44</f>
        <v>3812.7476473501733</v>
      </c>
      <c r="E44" s="84">
        <v>2118.1880000000001</v>
      </c>
      <c r="F44" s="84">
        <v>6158.35</v>
      </c>
      <c r="G44" s="87">
        <v>121.01600000000001</v>
      </c>
      <c r="H44" s="84">
        <f>SUM(E44:G44)</f>
        <v>8397.5540000000001</v>
      </c>
      <c r="I44" s="84"/>
      <c r="J44" s="84">
        <v>3356.6</v>
      </c>
      <c r="K44" s="84">
        <v>872.91017669999985</v>
      </c>
      <c r="L44" s="87">
        <f>N44-J44-K44-M44</f>
        <v>770.55533184840169</v>
      </c>
      <c r="M44" s="87">
        <v>1429.3264914515985</v>
      </c>
      <c r="N44" s="84">
        <f>H44-O44</f>
        <v>6429.3919999999998</v>
      </c>
      <c r="O44" s="84">
        <v>1968.162</v>
      </c>
    </row>
    <row r="45" spans="1:17" ht="16.2">
      <c r="A45" s="16" t="s">
        <v>35</v>
      </c>
      <c r="B45" s="84">
        <v>1580.2</v>
      </c>
      <c r="C45" s="84">
        <v>1540.1</v>
      </c>
      <c r="D45" s="84">
        <f>F45*1000/C45</f>
        <v>4130.4662034932799</v>
      </c>
      <c r="E45" s="84">
        <f>O44</f>
        <v>1968.162</v>
      </c>
      <c r="F45" s="84">
        <v>6361.3310000000001</v>
      </c>
      <c r="G45" s="87">
        <v>107.105</v>
      </c>
      <c r="H45" s="84">
        <f>SUM(E45:G45)</f>
        <v>8436.598</v>
      </c>
      <c r="I45" s="84"/>
      <c r="J45" s="84">
        <v>3313.1</v>
      </c>
      <c r="K45" s="84">
        <v>842.43200000000002</v>
      </c>
      <c r="L45" s="87">
        <f t="shared" ref="L45:L46" si="0">N45-J45-K45-M45</f>
        <v>738.31830540849705</v>
      </c>
      <c r="M45" s="87">
        <v>1182.4906945915034</v>
      </c>
      <c r="N45" s="84">
        <f>H45-O45</f>
        <v>6076.3410000000003</v>
      </c>
      <c r="O45" s="84">
        <v>2360.2570000000001</v>
      </c>
      <c r="P45" s="114"/>
    </row>
    <row r="46" spans="1:17" ht="16.2">
      <c r="A46" s="15" t="s">
        <v>36</v>
      </c>
      <c r="B46" s="88">
        <v>1450.3</v>
      </c>
      <c r="C46" s="88">
        <v>1385.4</v>
      </c>
      <c r="D46" s="88">
        <f>F46*1000/C46</f>
        <v>4019.1641403204849</v>
      </c>
      <c r="E46" s="88">
        <f>O45</f>
        <v>2360.2570000000001</v>
      </c>
      <c r="F46" s="88">
        <v>5568.15</v>
      </c>
      <c r="G46" s="91">
        <v>110</v>
      </c>
      <c r="H46" s="88">
        <f>SUM(E46:G46)</f>
        <v>8038.4069999999992</v>
      </c>
      <c r="I46" s="88"/>
      <c r="J46" s="88">
        <v>3287.3134918856595</v>
      </c>
      <c r="K46" s="88">
        <v>800</v>
      </c>
      <c r="L46" s="91">
        <f t="shared" si="0"/>
        <v>650.19000000000051</v>
      </c>
      <c r="M46" s="91">
        <v>1100</v>
      </c>
      <c r="N46" s="88">
        <f>H46-O46</f>
        <v>5837.50349188566</v>
      </c>
      <c r="O46" s="88">
        <v>2200.9035081143393</v>
      </c>
      <c r="P46" s="114"/>
      <c r="Q46" s="114"/>
    </row>
    <row r="47" spans="1:17" ht="16.2">
      <c r="A47" s="49" t="s">
        <v>84</v>
      </c>
      <c r="B47" s="16"/>
      <c r="C47" s="83"/>
      <c r="D47" s="83"/>
      <c r="E47" s="83"/>
      <c r="F47" s="83"/>
      <c r="G47" s="83"/>
      <c r="H47" s="83"/>
      <c r="I47" s="16"/>
      <c r="J47" s="16"/>
      <c r="K47" s="16"/>
      <c r="L47" s="16"/>
      <c r="M47" s="16"/>
      <c r="N47" s="16"/>
      <c r="O47" s="16"/>
    </row>
    <row r="48" spans="1:17" ht="14.4">
      <c r="A48" s="16" t="s">
        <v>206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4.4">
      <c r="A49" s="16" t="s">
        <v>85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3.8">
      <c r="A50" s="21" t="s">
        <v>56</v>
      </c>
      <c r="B50" s="96">
        <f>Contents!A16</f>
        <v>45027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44.4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ht="15.6">
      <c r="G52" s="72"/>
      <c r="H52" s="72"/>
    </row>
    <row r="53" spans="1:15" ht="15.6">
      <c r="G53" s="72"/>
      <c r="H53" s="72"/>
    </row>
    <row r="54" spans="1:15" ht="15.6">
      <c r="G54" s="72"/>
      <c r="H54" s="72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26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3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2" width="18.88671875" bestFit="1" customWidth="1"/>
    <col min="3" max="3" width="22.109375" bestFit="1" customWidth="1"/>
    <col min="4" max="5" width="25.6640625" bestFit="1" customWidth="1"/>
    <col min="6" max="6" width="16.6640625" bestFit="1" customWidth="1"/>
    <col min="7" max="7" width="18.88671875" bestFit="1" customWidth="1"/>
  </cols>
  <sheetData>
    <row r="1" spans="1:7" ht="15.6" customHeight="1">
      <c r="A1" s="15" t="s">
        <v>8</v>
      </c>
      <c r="B1" s="15"/>
      <c r="C1" s="15"/>
      <c r="D1" s="15"/>
      <c r="E1" s="15"/>
      <c r="F1" s="15"/>
      <c r="G1" s="15"/>
    </row>
    <row r="2" spans="1:7" ht="15.6" customHeight="1">
      <c r="A2" s="16" t="s">
        <v>93</v>
      </c>
      <c r="B2" s="18" t="s">
        <v>94</v>
      </c>
      <c r="C2" s="18" t="s">
        <v>95</v>
      </c>
      <c r="D2" s="18" t="s">
        <v>96</v>
      </c>
      <c r="E2" s="18" t="s">
        <v>97</v>
      </c>
      <c r="F2" s="18" t="s">
        <v>98</v>
      </c>
      <c r="G2" s="18" t="s">
        <v>99</v>
      </c>
    </row>
    <row r="3" spans="1:7" ht="15.6" customHeight="1">
      <c r="A3" s="15" t="s">
        <v>100</v>
      </c>
      <c r="B3" s="25"/>
      <c r="C3" s="54"/>
      <c r="D3" s="54"/>
      <c r="E3" s="54"/>
      <c r="F3" s="54"/>
      <c r="G3" s="54"/>
    </row>
    <row r="4" spans="1:7" ht="14.4">
      <c r="A4" s="55"/>
      <c r="B4" s="56" t="s">
        <v>101</v>
      </c>
      <c r="C4" s="56" t="s">
        <v>102</v>
      </c>
      <c r="D4" s="56" t="s">
        <v>103</v>
      </c>
      <c r="E4" s="56" t="s">
        <v>103</v>
      </c>
      <c r="F4" s="56" t="s">
        <v>104</v>
      </c>
      <c r="G4" s="56" t="s">
        <v>101</v>
      </c>
    </row>
    <row r="5" spans="1:7" ht="13.8">
      <c r="A5" s="16"/>
      <c r="B5" s="16"/>
      <c r="C5" s="16"/>
      <c r="D5" s="18"/>
      <c r="E5" s="16"/>
      <c r="F5" s="16"/>
      <c r="G5" s="16"/>
    </row>
    <row r="6" spans="1:7" ht="13.8">
      <c r="A6" s="16" t="s">
        <v>105</v>
      </c>
      <c r="B6" s="57">
        <v>11.3</v>
      </c>
      <c r="C6" s="57">
        <v>161</v>
      </c>
      <c r="D6" s="57">
        <v>23.3</v>
      </c>
      <c r="E6" s="57">
        <v>19.3</v>
      </c>
      <c r="F6" s="57">
        <v>22.5</v>
      </c>
      <c r="G6" s="57">
        <v>12.2</v>
      </c>
    </row>
    <row r="7" spans="1:7" ht="13.8">
      <c r="A7" s="16" t="s">
        <v>106</v>
      </c>
      <c r="B7" s="57">
        <v>12.5</v>
      </c>
      <c r="C7" s="57">
        <v>260</v>
      </c>
      <c r="D7" s="57">
        <v>29.1</v>
      </c>
      <c r="E7" s="57">
        <v>24</v>
      </c>
      <c r="F7" s="57">
        <v>31.8</v>
      </c>
      <c r="G7" s="57">
        <v>13.9</v>
      </c>
    </row>
    <row r="8" spans="1:7" ht="13.8">
      <c r="A8" s="16" t="s">
        <v>107</v>
      </c>
      <c r="B8" s="57">
        <v>14.4</v>
      </c>
      <c r="C8" s="57">
        <v>252</v>
      </c>
      <c r="D8" s="57">
        <v>25.4</v>
      </c>
      <c r="E8" s="57">
        <v>26.5</v>
      </c>
      <c r="F8" s="57">
        <v>30.1</v>
      </c>
      <c r="G8" s="57">
        <v>13.8</v>
      </c>
    </row>
    <row r="9" spans="1:7" ht="13.8">
      <c r="A9" s="16" t="s">
        <v>108</v>
      </c>
      <c r="B9" s="57">
        <v>13</v>
      </c>
      <c r="C9" s="57">
        <v>246</v>
      </c>
      <c r="D9" s="57">
        <v>21.4</v>
      </c>
      <c r="E9" s="57">
        <v>20.6</v>
      </c>
      <c r="F9" s="57">
        <v>24.9</v>
      </c>
      <c r="G9" s="57">
        <v>13.8</v>
      </c>
    </row>
    <row r="10" spans="1:7" ht="13.8">
      <c r="A10" s="16" t="s">
        <v>109</v>
      </c>
      <c r="B10" s="57">
        <v>10.1</v>
      </c>
      <c r="C10" s="57">
        <v>194</v>
      </c>
      <c r="D10" s="57">
        <v>21.7</v>
      </c>
      <c r="E10" s="57">
        <v>16.899999999999999</v>
      </c>
      <c r="F10" s="57">
        <v>22</v>
      </c>
      <c r="G10" s="57">
        <v>11.8</v>
      </c>
    </row>
    <row r="11" spans="1:7" ht="13.8">
      <c r="A11" s="16" t="s">
        <v>110</v>
      </c>
      <c r="B11" s="57">
        <v>8.9499999999999993</v>
      </c>
      <c r="C11" s="57">
        <v>227</v>
      </c>
      <c r="D11" s="57">
        <v>19.600000000000001</v>
      </c>
      <c r="E11" s="57">
        <v>15.6</v>
      </c>
      <c r="F11" s="57">
        <v>19.3</v>
      </c>
      <c r="G11" s="57">
        <v>8.9499999999999993</v>
      </c>
    </row>
    <row r="12" spans="1:7" ht="13.8">
      <c r="A12" s="16" t="s">
        <v>111</v>
      </c>
      <c r="B12" s="57">
        <v>9.4700000000000006</v>
      </c>
      <c r="C12" s="57">
        <v>195</v>
      </c>
      <c r="D12" s="57">
        <v>17.399999999999999</v>
      </c>
      <c r="E12" s="57">
        <v>16.600000000000001</v>
      </c>
      <c r="F12" s="57">
        <v>19.7</v>
      </c>
      <c r="G12" s="57">
        <v>8</v>
      </c>
    </row>
    <row r="13" spans="1:7" ht="13.8">
      <c r="A13" s="16" t="s">
        <v>112</v>
      </c>
      <c r="B13" s="57">
        <v>9.33</v>
      </c>
      <c r="C13" s="57">
        <v>142</v>
      </c>
      <c r="D13" s="57">
        <v>17.2</v>
      </c>
      <c r="E13" s="57">
        <v>17.5</v>
      </c>
      <c r="F13" s="57">
        <v>22.9</v>
      </c>
      <c r="G13" s="57">
        <v>9.5299999999999994</v>
      </c>
    </row>
    <row r="14" spans="1:7" ht="13.8">
      <c r="A14" s="16" t="s">
        <v>113</v>
      </c>
      <c r="B14" s="57">
        <v>8.48</v>
      </c>
      <c r="C14" s="57">
        <v>155</v>
      </c>
      <c r="D14" s="57">
        <v>17.399999999999999</v>
      </c>
      <c r="E14" s="57">
        <v>15.8</v>
      </c>
      <c r="F14" s="57">
        <v>21.5</v>
      </c>
      <c r="G14" s="57">
        <v>9.89</v>
      </c>
    </row>
    <row r="15" spans="1:7" ht="13.8">
      <c r="A15" s="16" t="s">
        <v>114</v>
      </c>
      <c r="B15" s="57">
        <v>8.57</v>
      </c>
      <c r="C15" s="57">
        <v>161</v>
      </c>
      <c r="D15" s="57">
        <v>19.5</v>
      </c>
      <c r="E15" s="57">
        <v>14.8</v>
      </c>
      <c r="F15" s="57">
        <v>20.5</v>
      </c>
      <c r="G15" s="57">
        <v>9.15</v>
      </c>
    </row>
    <row r="16" spans="1:7" ht="13.8">
      <c r="A16" s="16" t="s">
        <v>34</v>
      </c>
      <c r="B16" s="57">
        <v>10.8</v>
      </c>
      <c r="C16" s="57">
        <v>194</v>
      </c>
      <c r="D16" s="57">
        <v>21.3</v>
      </c>
      <c r="E16" s="57">
        <v>18.400000000000002</v>
      </c>
      <c r="F16" s="57">
        <v>21</v>
      </c>
      <c r="G16" s="57">
        <v>11.1</v>
      </c>
    </row>
    <row r="17" spans="1:8" ht="16.2">
      <c r="A17" s="16" t="s">
        <v>115</v>
      </c>
      <c r="B17" s="57">
        <v>13.3</v>
      </c>
      <c r="C17" s="57">
        <v>243</v>
      </c>
      <c r="D17" s="57">
        <v>32.9</v>
      </c>
      <c r="E17" s="57">
        <v>32.9</v>
      </c>
      <c r="F17" s="57">
        <v>24.3</v>
      </c>
      <c r="G17" s="57">
        <v>25.9</v>
      </c>
    </row>
    <row r="18" spans="1:8" ht="16.2">
      <c r="A18" s="16" t="s">
        <v>116</v>
      </c>
      <c r="B18" s="57">
        <v>14.3</v>
      </c>
      <c r="C18" s="57">
        <v>332</v>
      </c>
      <c r="D18" s="57">
        <v>26.95</v>
      </c>
      <c r="E18" s="57">
        <v>29.8</v>
      </c>
      <c r="F18" s="57">
        <v>27</v>
      </c>
      <c r="G18" s="134">
        <v>17.5</v>
      </c>
      <c r="H18" s="132"/>
    </row>
    <row r="19" spans="1:8" ht="13.8">
      <c r="A19" s="16"/>
      <c r="B19" s="58"/>
      <c r="C19" s="59"/>
      <c r="D19" s="60"/>
      <c r="E19" s="60"/>
      <c r="F19" s="59"/>
      <c r="G19" s="61"/>
      <c r="H19" s="50"/>
    </row>
    <row r="20" spans="1:8" ht="13.8">
      <c r="A20" s="62" t="s">
        <v>37</v>
      </c>
      <c r="B20" s="57"/>
      <c r="C20" s="57"/>
      <c r="D20" s="57"/>
      <c r="E20" s="57"/>
      <c r="F20" s="57"/>
      <c r="G20" s="57"/>
    </row>
    <row r="21" spans="1:8" ht="13.8">
      <c r="A21" s="16" t="s">
        <v>38</v>
      </c>
      <c r="B21" s="57">
        <v>12.2</v>
      </c>
      <c r="C21" s="57">
        <v>235</v>
      </c>
      <c r="D21" s="57">
        <v>30.7</v>
      </c>
      <c r="E21" s="57">
        <v>28.7</v>
      </c>
      <c r="F21" s="57">
        <v>22.2</v>
      </c>
      <c r="G21" s="57">
        <v>19.8</v>
      </c>
    </row>
    <row r="22" spans="1:8" ht="13.8">
      <c r="A22" s="16" t="s">
        <v>39</v>
      </c>
      <c r="B22" s="57">
        <v>11.9</v>
      </c>
      <c r="C22" s="57">
        <v>244</v>
      </c>
      <c r="D22" s="57">
        <v>30.5</v>
      </c>
      <c r="E22" s="57">
        <v>29.6</v>
      </c>
      <c r="F22" s="57">
        <v>23.9</v>
      </c>
      <c r="G22" s="57">
        <v>26.2</v>
      </c>
    </row>
    <row r="23" spans="1:8" ht="13.8">
      <c r="A23" s="16" t="s">
        <v>40</v>
      </c>
      <c r="B23" s="57">
        <v>12.1</v>
      </c>
      <c r="C23" s="57">
        <v>244</v>
      </c>
      <c r="D23" s="57">
        <v>30.3</v>
      </c>
      <c r="E23" s="57">
        <v>31.7</v>
      </c>
      <c r="F23" s="57">
        <v>25.4</v>
      </c>
      <c r="G23" s="57">
        <v>26.1</v>
      </c>
    </row>
    <row r="24" spans="1:8" ht="13.8">
      <c r="A24" s="16" t="s">
        <v>42</v>
      </c>
      <c r="B24" s="57">
        <v>12.5</v>
      </c>
      <c r="C24" s="57">
        <v>239</v>
      </c>
      <c r="D24" s="57">
        <v>31.6</v>
      </c>
      <c r="E24" s="57">
        <v>32.5</v>
      </c>
      <c r="F24" s="57">
        <v>24.1</v>
      </c>
      <c r="G24" s="57">
        <v>31.3</v>
      </c>
    </row>
    <row r="25" spans="1:8" ht="13.8">
      <c r="A25" s="16" t="s">
        <v>43</v>
      </c>
      <c r="B25" s="57">
        <v>12.9</v>
      </c>
      <c r="C25" s="57">
        <v>241</v>
      </c>
      <c r="D25" s="57">
        <v>31</v>
      </c>
      <c r="E25" s="57">
        <v>33.700000000000003</v>
      </c>
      <c r="F25" s="57">
        <v>25.9</v>
      </c>
      <c r="G25" s="57">
        <v>31</v>
      </c>
    </row>
    <row r="26" spans="1:8" ht="13.8">
      <c r="A26" s="16" t="s">
        <v>44</v>
      </c>
      <c r="B26" s="57">
        <v>14.7</v>
      </c>
      <c r="C26" s="57">
        <v>256</v>
      </c>
      <c r="D26" s="57">
        <v>32.200000000000003</v>
      </c>
      <c r="E26" s="57">
        <v>37.5</v>
      </c>
      <c r="F26" s="57">
        <v>24.8</v>
      </c>
      <c r="G26" s="57">
        <v>27.5</v>
      </c>
    </row>
    <row r="27" spans="1:8" ht="13.8">
      <c r="A27" s="16" t="s">
        <v>46</v>
      </c>
      <c r="B27" s="57">
        <v>15.4</v>
      </c>
      <c r="C27" s="57" t="s">
        <v>75</v>
      </c>
      <c r="D27" s="57">
        <v>33.9</v>
      </c>
      <c r="E27" s="57">
        <v>39.200000000000003</v>
      </c>
      <c r="F27" s="57">
        <v>25</v>
      </c>
      <c r="G27" s="57">
        <v>28.9</v>
      </c>
    </row>
    <row r="28" spans="1:8" ht="13.8">
      <c r="A28" s="16" t="s">
        <v>47</v>
      </c>
      <c r="B28" s="57">
        <v>15.8</v>
      </c>
      <c r="C28" s="57" t="s">
        <v>75</v>
      </c>
      <c r="D28" s="57">
        <v>37.1</v>
      </c>
      <c r="E28" s="57">
        <v>41.3</v>
      </c>
      <c r="F28" s="57">
        <v>24.8</v>
      </c>
      <c r="G28" s="57">
        <v>30.2</v>
      </c>
    </row>
    <row r="29" spans="1:8" ht="13.8">
      <c r="A29" s="16" t="s">
        <v>48</v>
      </c>
      <c r="B29" s="57">
        <v>16.100000000000001</v>
      </c>
      <c r="C29" s="57" t="s">
        <v>75</v>
      </c>
      <c r="D29" s="57">
        <v>40.1</v>
      </c>
      <c r="E29" s="57">
        <v>42.9</v>
      </c>
      <c r="F29" s="57">
        <v>25.3</v>
      </c>
      <c r="G29" s="57">
        <v>29.7</v>
      </c>
    </row>
    <row r="30" spans="1:8" ht="13.8">
      <c r="A30" s="16" t="s">
        <v>50</v>
      </c>
      <c r="B30" s="57">
        <v>16.399999999999999</v>
      </c>
      <c r="C30" s="57" t="s">
        <v>75</v>
      </c>
      <c r="D30" s="57">
        <v>40.200000000000003</v>
      </c>
      <c r="E30" s="57">
        <v>45.6</v>
      </c>
      <c r="F30" s="57">
        <v>25.2</v>
      </c>
      <c r="G30" s="57">
        <v>23.9</v>
      </c>
    </row>
    <row r="31" spans="1:8" ht="13.8">
      <c r="A31" s="16" t="s">
        <v>51</v>
      </c>
      <c r="B31" s="57">
        <v>15.5</v>
      </c>
      <c r="C31" s="57">
        <v>360</v>
      </c>
      <c r="D31" s="57">
        <v>36.200000000000003</v>
      </c>
      <c r="E31" s="57">
        <v>42.7</v>
      </c>
      <c r="F31" s="57">
        <v>25.3</v>
      </c>
      <c r="G31" s="57">
        <v>24.2</v>
      </c>
    </row>
    <row r="32" spans="1:8" ht="13.8">
      <c r="A32" s="16" t="s">
        <v>52</v>
      </c>
      <c r="B32" s="57">
        <f>15.3</f>
        <v>15.3</v>
      </c>
      <c r="C32" s="57">
        <f>343</f>
        <v>343</v>
      </c>
      <c r="D32" s="57">
        <f>37.8</f>
        <v>37.799999999999997</v>
      </c>
      <c r="E32" s="57">
        <f>40</f>
        <v>40</v>
      </c>
      <c r="F32" s="57">
        <f>25</f>
        <v>25</v>
      </c>
      <c r="G32" s="57">
        <f>20.8</f>
        <v>20.8</v>
      </c>
    </row>
    <row r="33" spans="1:7" ht="13.8">
      <c r="A33" s="16"/>
      <c r="B33" s="57"/>
      <c r="C33" s="57"/>
      <c r="D33" s="57"/>
      <c r="E33" s="57"/>
      <c r="F33" s="57"/>
      <c r="G33" s="57"/>
    </row>
    <row r="34" spans="1:7" ht="13.8">
      <c r="A34" s="62" t="s">
        <v>54</v>
      </c>
      <c r="B34" s="57"/>
      <c r="C34" s="57"/>
      <c r="D34" s="57"/>
      <c r="E34" s="57"/>
      <c r="F34" s="57"/>
      <c r="G34" s="57"/>
    </row>
    <row r="35" spans="1:7" ht="13.8">
      <c r="A35" s="16" t="s">
        <v>38</v>
      </c>
      <c r="B35" s="57">
        <v>14.1</v>
      </c>
      <c r="C35" s="57">
        <v>361</v>
      </c>
      <c r="D35" s="57">
        <v>32.9</v>
      </c>
      <c r="E35" s="57">
        <v>28.1</v>
      </c>
      <c r="F35" s="57">
        <v>25.7</v>
      </c>
      <c r="G35" s="57">
        <v>18.899999999999999</v>
      </c>
    </row>
    <row r="36" spans="1:7" ht="13.8">
      <c r="A36" s="16" t="s">
        <v>39</v>
      </c>
      <c r="B36" s="57">
        <v>13.5</v>
      </c>
      <c r="C36" s="57">
        <v>338</v>
      </c>
      <c r="D36" s="57">
        <v>29.3</v>
      </c>
      <c r="E36" s="57">
        <v>28.1</v>
      </c>
      <c r="F36" s="57">
        <v>26.6</v>
      </c>
      <c r="G36" s="57">
        <v>18.600000000000001</v>
      </c>
    </row>
    <row r="37" spans="1:7" ht="13.8">
      <c r="A37" s="16" t="s">
        <v>40</v>
      </c>
      <c r="B37" s="57">
        <v>14</v>
      </c>
      <c r="C37" s="57">
        <v>323</v>
      </c>
      <c r="D37" s="57">
        <v>28.4</v>
      </c>
      <c r="E37" s="57">
        <v>29.2</v>
      </c>
      <c r="F37" s="57">
        <v>29.9</v>
      </c>
      <c r="G37" s="57">
        <v>19.5</v>
      </c>
    </row>
    <row r="38" spans="1:7" ht="13.8">
      <c r="A38" s="16" t="s">
        <v>42</v>
      </c>
      <c r="B38" s="57">
        <v>14.4</v>
      </c>
      <c r="C38" s="57">
        <v>329</v>
      </c>
      <c r="D38" s="57">
        <v>29.5</v>
      </c>
      <c r="E38" s="57">
        <v>29.2</v>
      </c>
      <c r="F38" s="57">
        <v>24.1</v>
      </c>
      <c r="G38" s="57">
        <v>18.399999999999999</v>
      </c>
    </row>
    <row r="39" spans="1:7" ht="13.8">
      <c r="A39" s="16" t="s">
        <v>43</v>
      </c>
      <c r="B39" s="57">
        <v>14.5</v>
      </c>
      <c r="C39" s="57">
        <v>316</v>
      </c>
      <c r="D39" s="57">
        <v>28.5</v>
      </c>
      <c r="E39" s="57">
        <v>30.1</v>
      </c>
      <c r="F39" s="57">
        <v>27.9</v>
      </c>
      <c r="G39" s="57">
        <v>17.7</v>
      </c>
    </row>
    <row r="40" spans="1:7" ht="13.8">
      <c r="A40" s="15" t="s">
        <v>44</v>
      </c>
      <c r="B40" s="14">
        <v>15.1</v>
      </c>
      <c r="C40" s="14">
        <v>332</v>
      </c>
      <c r="D40" s="14">
        <v>30.8</v>
      </c>
      <c r="E40" s="14">
        <v>30.7</v>
      </c>
      <c r="F40" s="14">
        <v>27.2</v>
      </c>
      <c r="G40" s="14">
        <v>16.2</v>
      </c>
    </row>
    <row r="41" spans="1:7" ht="16.2">
      <c r="A41" s="16" t="s">
        <v>117</v>
      </c>
      <c r="B41" s="16"/>
      <c r="C41" s="16"/>
      <c r="D41" s="16"/>
      <c r="E41" s="16"/>
      <c r="F41" s="16"/>
      <c r="G41" s="16"/>
    </row>
    <row r="42" spans="1:7" ht="14.4">
      <c r="A42" s="16" t="s">
        <v>118</v>
      </c>
      <c r="B42" s="16"/>
      <c r="C42" s="16"/>
      <c r="D42" s="16"/>
      <c r="E42" s="16"/>
      <c r="F42" s="16"/>
      <c r="G42" s="16"/>
    </row>
    <row r="43" spans="1:7" ht="13.8">
      <c r="A43" s="21" t="s">
        <v>56</v>
      </c>
      <c r="B43" s="43">
        <f>Contents!A16</f>
        <v>45027</v>
      </c>
      <c r="C43" s="16"/>
      <c r="D43" s="16"/>
      <c r="E43" s="16"/>
      <c r="F43" s="16"/>
      <c r="G43" s="16"/>
    </row>
  </sheetData>
  <phoneticPr fontId="26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4"/>
  <sheetViews>
    <sheetView showGridLines="0" zoomScale="70" zoomScaleNormal="70" workbookViewId="0"/>
  </sheetViews>
  <sheetFormatPr defaultColWidth="9.109375" defaultRowHeight="13.2"/>
  <cols>
    <col min="1" max="2" width="11.6640625" customWidth="1"/>
    <col min="3" max="3" width="11.5546875" customWidth="1"/>
    <col min="4" max="4" width="13.6640625" customWidth="1"/>
    <col min="5" max="5" width="11.6640625" customWidth="1"/>
    <col min="6" max="6" width="11.5546875" bestFit="1" customWidth="1"/>
    <col min="7" max="7" width="10.6640625" customWidth="1"/>
    <col min="8" max="8" width="12" customWidth="1"/>
    <col min="9" max="9" width="13.44140625" customWidth="1"/>
  </cols>
  <sheetData>
    <row r="1" spans="1:12" ht="13.8">
      <c r="A1" s="15" t="s">
        <v>9</v>
      </c>
      <c r="B1" s="15"/>
      <c r="C1" s="15"/>
      <c r="D1" s="15"/>
      <c r="E1" s="15"/>
      <c r="F1" s="15"/>
      <c r="G1" s="15"/>
      <c r="H1" s="15"/>
      <c r="I1" s="16"/>
    </row>
    <row r="2" spans="1:12" ht="15.6" customHeight="1">
      <c r="A2" s="63" t="s">
        <v>93</v>
      </c>
      <c r="B2" s="18" t="s">
        <v>119</v>
      </c>
      <c r="C2" s="18" t="s">
        <v>120</v>
      </c>
      <c r="D2" s="18" t="s">
        <v>121</v>
      </c>
      <c r="E2" s="64" t="s">
        <v>122</v>
      </c>
      <c r="F2" s="64" t="s">
        <v>123</v>
      </c>
      <c r="G2" s="18" t="s">
        <v>124</v>
      </c>
      <c r="H2" s="18" t="s">
        <v>125</v>
      </c>
      <c r="I2" s="65" t="s">
        <v>126</v>
      </c>
    </row>
    <row r="3" spans="1:12" ht="15.6" customHeight="1">
      <c r="A3" s="66" t="s">
        <v>100</v>
      </c>
      <c r="B3" s="24" t="s">
        <v>127</v>
      </c>
      <c r="C3" s="24" t="s">
        <v>128</v>
      </c>
      <c r="D3" s="24" t="s">
        <v>129</v>
      </c>
      <c r="E3" s="24" t="s">
        <v>129</v>
      </c>
      <c r="F3" s="24" t="s">
        <v>130</v>
      </c>
      <c r="G3" s="24" t="s">
        <v>131</v>
      </c>
      <c r="H3" s="24"/>
      <c r="I3" s="24" t="s">
        <v>132</v>
      </c>
    </row>
    <row r="4" spans="1:12" ht="14.4">
      <c r="A4" s="67" t="s">
        <v>133</v>
      </c>
      <c r="C4" s="68"/>
      <c r="D4" s="68"/>
      <c r="E4" s="68"/>
      <c r="F4" s="68"/>
      <c r="G4" s="68"/>
      <c r="H4" s="68"/>
      <c r="I4" s="68"/>
    </row>
    <row r="5" spans="1:12" ht="13.8">
      <c r="A5" s="16"/>
      <c r="B5" s="16"/>
      <c r="C5" s="16"/>
      <c r="D5" s="16"/>
      <c r="E5" s="16"/>
      <c r="F5" s="16"/>
      <c r="G5" s="16"/>
      <c r="H5" s="16"/>
      <c r="I5" s="16"/>
    </row>
    <row r="6" spans="1:12" ht="13.8">
      <c r="A6" s="16" t="s">
        <v>105</v>
      </c>
      <c r="B6" s="57">
        <v>53.2</v>
      </c>
      <c r="C6" s="57">
        <v>54.5</v>
      </c>
      <c r="D6" s="57">
        <v>86.12</v>
      </c>
      <c r="E6" s="57">
        <v>58.68</v>
      </c>
      <c r="F6" s="57">
        <v>77.239999999999995</v>
      </c>
      <c r="G6" s="57">
        <v>60.76</v>
      </c>
      <c r="H6" s="57">
        <v>51.52</v>
      </c>
      <c r="I6" s="57">
        <v>51.34</v>
      </c>
      <c r="K6" s="73"/>
      <c r="L6" s="73"/>
    </row>
    <row r="7" spans="1:12" ht="13.8">
      <c r="A7" s="16" t="s">
        <v>106</v>
      </c>
      <c r="B7" s="57">
        <v>51.9</v>
      </c>
      <c r="C7" s="57">
        <v>53.22</v>
      </c>
      <c r="D7" s="57">
        <v>83.2</v>
      </c>
      <c r="E7" s="57">
        <v>57.19</v>
      </c>
      <c r="F7" s="57">
        <v>100.15</v>
      </c>
      <c r="G7" s="57">
        <v>56.09</v>
      </c>
      <c r="H7" s="57">
        <v>48.11</v>
      </c>
      <c r="I7" s="57">
        <v>50.33</v>
      </c>
      <c r="K7" s="73"/>
      <c r="L7" s="73"/>
    </row>
    <row r="8" spans="1:12" ht="13.8">
      <c r="A8" s="16" t="s">
        <v>107</v>
      </c>
      <c r="B8" s="57">
        <v>47.13</v>
      </c>
      <c r="C8" s="57">
        <v>48.6</v>
      </c>
      <c r="D8" s="57">
        <v>65.87</v>
      </c>
      <c r="E8" s="57">
        <v>56.17</v>
      </c>
      <c r="F8" s="57">
        <v>91.83</v>
      </c>
      <c r="G8" s="57">
        <v>46.66</v>
      </c>
      <c r="H8" s="57">
        <v>51.8</v>
      </c>
      <c r="I8" s="57">
        <v>43.24</v>
      </c>
      <c r="K8" s="73"/>
      <c r="L8" s="73"/>
    </row>
    <row r="9" spans="1:12" ht="13.8">
      <c r="A9" s="16" t="s">
        <v>108</v>
      </c>
      <c r="B9" s="57">
        <v>38.229999999999997</v>
      </c>
      <c r="C9" s="57">
        <v>60.66</v>
      </c>
      <c r="D9" s="57">
        <v>59.12</v>
      </c>
      <c r="E9" s="57">
        <v>43.7</v>
      </c>
      <c r="F9" s="57">
        <v>68.23</v>
      </c>
      <c r="G9" s="57">
        <v>39.43</v>
      </c>
      <c r="H9" s="57">
        <v>43.93</v>
      </c>
      <c r="I9" s="57">
        <v>39.76</v>
      </c>
      <c r="K9" s="73"/>
      <c r="L9" s="73"/>
    </row>
    <row r="10" spans="1:12" ht="13.8">
      <c r="A10" s="16" t="s">
        <v>109</v>
      </c>
      <c r="B10" s="57">
        <v>31.6</v>
      </c>
      <c r="C10" s="57">
        <v>45.74</v>
      </c>
      <c r="D10" s="57">
        <v>66.72</v>
      </c>
      <c r="E10" s="57">
        <v>37.81</v>
      </c>
      <c r="F10" s="57">
        <v>57.96</v>
      </c>
      <c r="G10" s="57">
        <v>37.479999999999997</v>
      </c>
      <c r="H10" s="57">
        <v>33.43</v>
      </c>
      <c r="I10" s="57">
        <v>31.36</v>
      </c>
      <c r="K10" s="73"/>
      <c r="L10" s="73"/>
    </row>
    <row r="11" spans="1:12" ht="13.8">
      <c r="A11" s="16" t="s">
        <v>110</v>
      </c>
      <c r="B11" s="57">
        <v>29.86</v>
      </c>
      <c r="C11" s="57">
        <v>45.87</v>
      </c>
      <c r="D11" s="57">
        <v>57.81</v>
      </c>
      <c r="E11" s="57">
        <v>35.270000000000003</v>
      </c>
      <c r="F11" s="57">
        <v>58.26</v>
      </c>
      <c r="G11" s="57">
        <v>39.25</v>
      </c>
      <c r="H11" s="57">
        <v>32.229999999999997</v>
      </c>
      <c r="I11" s="57">
        <v>30.07</v>
      </c>
      <c r="K11" s="73"/>
      <c r="L11" s="73"/>
    </row>
    <row r="12" spans="1:12" ht="13.8">
      <c r="A12" s="16" t="s">
        <v>111</v>
      </c>
      <c r="B12" s="57">
        <v>32.549999999999997</v>
      </c>
      <c r="C12" s="57">
        <v>40.92</v>
      </c>
      <c r="D12" s="57">
        <v>53.54</v>
      </c>
      <c r="E12" s="57">
        <v>38.729999999999997</v>
      </c>
      <c r="F12" s="57">
        <v>66.73</v>
      </c>
      <c r="G12" s="57">
        <v>37.43</v>
      </c>
      <c r="H12" s="57">
        <v>33.07</v>
      </c>
      <c r="I12" s="57">
        <v>34.75</v>
      </c>
      <c r="K12" s="73"/>
      <c r="L12" s="73"/>
    </row>
    <row r="13" spans="1:12" ht="13.8">
      <c r="A13" s="16" t="s">
        <v>112</v>
      </c>
      <c r="B13" s="57">
        <v>30.04</v>
      </c>
      <c r="C13" s="57">
        <v>31.87</v>
      </c>
      <c r="D13" s="57">
        <v>54.57</v>
      </c>
      <c r="E13" s="57">
        <v>38.270000000000003</v>
      </c>
      <c r="F13" s="57">
        <v>66.72</v>
      </c>
      <c r="G13" s="57">
        <v>30.35</v>
      </c>
      <c r="H13" s="57">
        <v>34.159999999999997</v>
      </c>
      <c r="I13" s="57">
        <v>31.21</v>
      </c>
      <c r="K13" s="73"/>
      <c r="L13" s="73"/>
    </row>
    <row r="14" spans="1:12" ht="13.8">
      <c r="A14" s="16" t="s">
        <v>113</v>
      </c>
      <c r="B14" s="57">
        <v>28.26</v>
      </c>
      <c r="C14" s="57">
        <v>35.14</v>
      </c>
      <c r="D14" s="57">
        <v>53.28</v>
      </c>
      <c r="E14" s="57">
        <v>36.090000000000003</v>
      </c>
      <c r="F14" s="57">
        <v>64.72</v>
      </c>
      <c r="G14" s="57">
        <v>26.93</v>
      </c>
      <c r="H14" s="57">
        <v>31.65</v>
      </c>
      <c r="I14" s="57">
        <v>33.11</v>
      </c>
      <c r="K14" s="73"/>
      <c r="L14" s="73"/>
    </row>
    <row r="15" spans="1:12" ht="13.8">
      <c r="A15" s="16" t="s">
        <v>114</v>
      </c>
      <c r="B15" s="57">
        <v>29.65</v>
      </c>
      <c r="C15" s="57">
        <v>40.18</v>
      </c>
      <c r="D15" s="57">
        <v>65.03</v>
      </c>
      <c r="E15" s="57">
        <v>37.869999999999997</v>
      </c>
      <c r="F15" s="57">
        <v>62</v>
      </c>
      <c r="G15" s="57">
        <v>39.47</v>
      </c>
      <c r="H15" s="57">
        <v>35.75</v>
      </c>
      <c r="I15" s="57">
        <v>38.369999999999997</v>
      </c>
      <c r="K15" s="73"/>
      <c r="L15" s="73"/>
    </row>
    <row r="16" spans="1:12" ht="13.8">
      <c r="A16" s="16" t="s">
        <v>34</v>
      </c>
      <c r="B16" s="57">
        <v>56.87</v>
      </c>
      <c r="C16" s="57">
        <v>80.94</v>
      </c>
      <c r="D16" s="57">
        <v>79</v>
      </c>
      <c r="E16" s="57">
        <v>70.459999999999994</v>
      </c>
      <c r="F16" s="57">
        <v>101.4</v>
      </c>
      <c r="G16" s="57">
        <v>53.88</v>
      </c>
      <c r="H16" s="57">
        <v>55.89</v>
      </c>
      <c r="I16" s="57">
        <v>54.98</v>
      </c>
      <c r="K16" s="73"/>
      <c r="L16" s="73"/>
    </row>
    <row r="17" spans="1:12" ht="16.2">
      <c r="A17" s="16" t="s">
        <v>134</v>
      </c>
      <c r="B17" s="57">
        <v>72.98</v>
      </c>
      <c r="C17" s="57">
        <v>107.15</v>
      </c>
      <c r="D17" s="57">
        <v>111.39</v>
      </c>
      <c r="E17" s="57">
        <v>90.52</v>
      </c>
      <c r="F17" s="57">
        <v>106.98</v>
      </c>
      <c r="G17" s="57">
        <v>64.28</v>
      </c>
      <c r="H17" s="57">
        <v>82</v>
      </c>
      <c r="I17" s="57">
        <v>81.84</v>
      </c>
      <c r="J17" s="106"/>
      <c r="K17" s="73"/>
      <c r="L17" s="73"/>
    </row>
    <row r="18" spans="1:12" ht="16.2">
      <c r="A18" s="16" t="s">
        <v>135</v>
      </c>
      <c r="B18" s="57">
        <v>64</v>
      </c>
      <c r="C18" s="57">
        <v>100</v>
      </c>
      <c r="D18" s="57">
        <v>85</v>
      </c>
      <c r="E18" s="57">
        <v>70</v>
      </c>
      <c r="F18" s="57">
        <v>99</v>
      </c>
      <c r="G18" s="57">
        <v>60</v>
      </c>
      <c r="H18" s="57">
        <v>82</v>
      </c>
      <c r="I18" s="57">
        <v>77</v>
      </c>
      <c r="J18" s="106"/>
      <c r="K18" s="73"/>
      <c r="L18" s="73"/>
    </row>
    <row r="19" spans="1:12" ht="13.8">
      <c r="A19" s="16"/>
      <c r="B19" s="69"/>
      <c r="C19" s="69"/>
      <c r="D19" s="69"/>
      <c r="E19" s="69"/>
      <c r="F19" s="69"/>
      <c r="G19" s="69"/>
      <c r="H19" s="69"/>
      <c r="I19" s="69"/>
    </row>
    <row r="20" spans="1:12" ht="13.8">
      <c r="A20" s="36" t="s">
        <v>37</v>
      </c>
      <c r="B20" s="57"/>
      <c r="C20" s="57"/>
      <c r="D20" s="57"/>
      <c r="E20" s="57"/>
      <c r="F20" s="57"/>
      <c r="G20" s="57"/>
      <c r="H20" s="57"/>
      <c r="I20" s="57"/>
      <c r="L20" s="106"/>
    </row>
    <row r="21" spans="1:12" ht="13.8">
      <c r="A21" s="16" t="s">
        <v>39</v>
      </c>
      <c r="B21" s="57">
        <v>70.42</v>
      </c>
      <c r="C21" s="57">
        <v>98.5</v>
      </c>
      <c r="D21" s="57">
        <v>129</v>
      </c>
      <c r="E21" s="57">
        <v>82.3</v>
      </c>
      <c r="F21" s="57">
        <v>101.5</v>
      </c>
      <c r="G21" s="57">
        <v>57.069999999999993</v>
      </c>
      <c r="H21" s="57" t="s">
        <v>75</v>
      </c>
      <c r="I21" s="57" t="s">
        <v>75</v>
      </c>
      <c r="K21" s="109"/>
      <c r="L21" s="108"/>
    </row>
    <row r="22" spans="1:12" ht="13.8">
      <c r="A22" s="16" t="s">
        <v>40</v>
      </c>
      <c r="B22" s="57">
        <v>66.459999999999994</v>
      </c>
      <c r="C22" s="57">
        <v>96.75</v>
      </c>
      <c r="D22" s="57">
        <v>125</v>
      </c>
      <c r="E22" s="57">
        <v>84.375</v>
      </c>
      <c r="F22" s="57">
        <v>100</v>
      </c>
      <c r="G22" s="57">
        <v>57.918000000000006</v>
      </c>
      <c r="H22" s="57" t="s">
        <v>75</v>
      </c>
      <c r="I22" s="57">
        <v>80.06</v>
      </c>
      <c r="K22" s="109"/>
      <c r="L22" s="109"/>
    </row>
    <row r="23" spans="1:12" ht="13.8">
      <c r="A23" s="16" t="s">
        <v>42</v>
      </c>
      <c r="B23" s="57">
        <v>63.69</v>
      </c>
      <c r="C23" s="57">
        <v>93.3</v>
      </c>
      <c r="D23" s="57">
        <v>125</v>
      </c>
      <c r="E23" s="57">
        <v>82.95</v>
      </c>
      <c r="F23" s="57">
        <v>100</v>
      </c>
      <c r="G23" s="57">
        <v>56.093333333333334</v>
      </c>
      <c r="H23" s="57" t="s">
        <v>75</v>
      </c>
      <c r="I23" s="57">
        <v>73</v>
      </c>
      <c r="K23" s="109"/>
      <c r="L23" s="109"/>
    </row>
    <row r="24" spans="1:12" ht="13.8">
      <c r="A24" s="16" t="s">
        <v>43</v>
      </c>
      <c r="B24" s="57">
        <v>65.7</v>
      </c>
      <c r="C24" s="57">
        <v>97.9375</v>
      </c>
      <c r="D24" s="57">
        <v>123.125</v>
      </c>
      <c r="E24" s="57">
        <v>88.5625</v>
      </c>
      <c r="F24" s="57">
        <v>103.125</v>
      </c>
      <c r="G24" s="57">
        <v>54.09</v>
      </c>
      <c r="H24" s="57" t="s">
        <v>75</v>
      </c>
      <c r="I24" s="57">
        <v>76.5</v>
      </c>
      <c r="K24" s="109"/>
    </row>
    <row r="25" spans="1:12" ht="13.8">
      <c r="A25" s="16" t="s">
        <v>44</v>
      </c>
      <c r="B25" s="57">
        <v>70.91</v>
      </c>
      <c r="C25" s="57">
        <v>101.375</v>
      </c>
      <c r="D25" s="57">
        <v>115.33333333333333</v>
      </c>
      <c r="E25" s="57">
        <v>85.875</v>
      </c>
      <c r="F25" s="57">
        <v>105</v>
      </c>
      <c r="G25" s="57">
        <v>59.29</v>
      </c>
      <c r="H25" s="57">
        <v>82</v>
      </c>
      <c r="I25" s="57">
        <v>80</v>
      </c>
    </row>
    <row r="26" spans="1:12" ht="13.8">
      <c r="A26" s="16" t="s">
        <v>46</v>
      </c>
      <c r="B26" s="57">
        <v>76.405000000000001</v>
      </c>
      <c r="C26" s="57">
        <v>114.875</v>
      </c>
      <c r="D26" s="57">
        <v>129</v>
      </c>
      <c r="E26" s="57">
        <v>92</v>
      </c>
      <c r="F26" s="57">
        <v>107.5</v>
      </c>
      <c r="G26" s="57">
        <v>67.1875</v>
      </c>
      <c r="H26" s="57" t="s">
        <v>75</v>
      </c>
      <c r="I26" s="57">
        <v>81.5</v>
      </c>
    </row>
    <row r="27" spans="1:12" ht="13.8">
      <c r="A27" s="16" t="s">
        <v>47</v>
      </c>
      <c r="B27" s="57">
        <v>83.846000000000004</v>
      </c>
      <c r="C27" s="57">
        <v>120.05</v>
      </c>
      <c r="D27" s="57">
        <v>120.4</v>
      </c>
      <c r="E27" s="57">
        <v>103.15</v>
      </c>
      <c r="F27" s="57">
        <v>115</v>
      </c>
      <c r="G27" s="57">
        <v>71.55</v>
      </c>
      <c r="H27" s="57" t="s">
        <v>75</v>
      </c>
      <c r="I27" s="57">
        <v>83.125</v>
      </c>
    </row>
    <row r="28" spans="1:12" ht="13.8">
      <c r="A28" s="16" t="s">
        <v>48</v>
      </c>
      <c r="B28" s="57">
        <v>87.385000000000005</v>
      </c>
      <c r="C28" s="57">
        <v>119.5625</v>
      </c>
      <c r="D28" s="57">
        <v>113.5</v>
      </c>
      <c r="E28" s="57">
        <v>108.6875</v>
      </c>
      <c r="F28" s="57">
        <v>116.25</v>
      </c>
      <c r="G28" s="57">
        <v>77.802499999999995</v>
      </c>
      <c r="H28" s="57" t="s">
        <v>75</v>
      </c>
      <c r="I28" s="57">
        <v>84.25</v>
      </c>
    </row>
    <row r="29" spans="1:12" ht="13.8">
      <c r="A29" s="16" t="s">
        <v>50</v>
      </c>
      <c r="B29" s="57">
        <v>80.297499999999999</v>
      </c>
      <c r="C29" s="57">
        <v>115.75</v>
      </c>
      <c r="D29" s="57">
        <v>97.75</v>
      </c>
      <c r="E29" s="57">
        <v>102.25</v>
      </c>
      <c r="F29" s="57">
        <v>116.25</v>
      </c>
      <c r="G29" s="57">
        <v>76.375</v>
      </c>
      <c r="H29" s="57" t="s">
        <v>75</v>
      </c>
      <c r="I29" s="57">
        <v>86.5</v>
      </c>
    </row>
    <row r="30" spans="1:12" ht="13.8">
      <c r="A30" s="16" t="s">
        <v>51</v>
      </c>
      <c r="B30" s="57">
        <v>67.74799999999999</v>
      </c>
      <c r="C30" s="57">
        <v>100.8</v>
      </c>
      <c r="D30" s="57">
        <v>78.2</v>
      </c>
      <c r="E30" s="57">
        <v>87.9</v>
      </c>
      <c r="F30" s="57">
        <v>103.2</v>
      </c>
      <c r="G30" s="57">
        <v>62.25</v>
      </c>
      <c r="H30" s="57" t="s">
        <v>75</v>
      </c>
      <c r="I30" s="57">
        <v>81.5</v>
      </c>
    </row>
    <row r="31" spans="1:12" ht="13.8">
      <c r="A31" s="16" t="s">
        <v>52</v>
      </c>
      <c r="B31" s="57">
        <v>72.334999999999994</v>
      </c>
      <c r="C31" s="57">
        <v>113.75</v>
      </c>
      <c r="D31" s="57">
        <v>92</v>
      </c>
      <c r="E31" s="57">
        <v>91.3125</v>
      </c>
      <c r="F31" s="57">
        <v>107.25</v>
      </c>
      <c r="G31" s="57">
        <v>65.4375</v>
      </c>
      <c r="H31" s="57" t="s">
        <v>75</v>
      </c>
      <c r="I31" s="57" t="s">
        <v>75</v>
      </c>
    </row>
    <row r="32" spans="1:12" ht="13.8">
      <c r="A32" s="16" t="s">
        <v>38</v>
      </c>
      <c r="B32" s="57">
        <v>70.626000000000005</v>
      </c>
      <c r="C32" s="57">
        <v>113.2</v>
      </c>
      <c r="D32" s="57">
        <v>88.4</v>
      </c>
      <c r="E32" s="57">
        <v>76.849999999999994</v>
      </c>
      <c r="F32" s="57">
        <v>111.6</v>
      </c>
      <c r="G32" s="57">
        <v>66.263999999999996</v>
      </c>
      <c r="H32" s="57" t="s">
        <v>75</v>
      </c>
      <c r="I32" s="57">
        <v>92</v>
      </c>
      <c r="K32" s="73"/>
      <c r="L32" s="73"/>
    </row>
    <row r="33" spans="1:12" ht="13.8">
      <c r="A33" s="16"/>
      <c r="B33" s="57"/>
      <c r="C33" s="57"/>
      <c r="D33" s="57"/>
      <c r="E33" s="57"/>
      <c r="F33" s="57"/>
      <c r="G33" s="57"/>
      <c r="H33" s="57"/>
      <c r="I33" s="57"/>
      <c r="K33" s="73"/>
      <c r="L33" s="73"/>
    </row>
    <row r="34" spans="1:12" ht="13.8">
      <c r="A34" s="36" t="s">
        <v>54</v>
      </c>
      <c r="B34" s="57"/>
      <c r="C34" s="57"/>
      <c r="D34" s="57"/>
      <c r="E34" s="57"/>
      <c r="F34" s="57"/>
      <c r="G34" s="57"/>
      <c r="H34" s="57"/>
      <c r="I34" s="57"/>
      <c r="K34" s="73"/>
      <c r="L34" s="73"/>
    </row>
    <row r="35" spans="1:12" ht="13.8">
      <c r="A35" s="16" t="s">
        <v>39</v>
      </c>
      <c r="B35" s="57">
        <v>72.67</v>
      </c>
      <c r="C35" s="57">
        <v>110.1875</v>
      </c>
      <c r="D35" s="57">
        <v>93.75</v>
      </c>
      <c r="E35" s="57">
        <v>80.125</v>
      </c>
      <c r="F35" s="57">
        <v>107.75</v>
      </c>
      <c r="G35" s="57">
        <v>65.412499999999994</v>
      </c>
      <c r="H35" s="57">
        <v>88</v>
      </c>
      <c r="I35" s="57">
        <v>88.5</v>
      </c>
      <c r="K35" s="73"/>
      <c r="L35" s="73"/>
    </row>
    <row r="36" spans="1:12" ht="13.8">
      <c r="A36" s="16" t="s">
        <v>40</v>
      </c>
      <c r="B36" s="57">
        <v>79.180000000000007</v>
      </c>
      <c r="C36" s="57">
        <v>116.6875</v>
      </c>
      <c r="D36" s="57">
        <v>106</v>
      </c>
      <c r="E36" s="57">
        <v>84.375</v>
      </c>
      <c r="F36" s="57">
        <v>111</v>
      </c>
      <c r="G36" s="57">
        <v>69.67</v>
      </c>
      <c r="H36" s="57" t="s">
        <v>75</v>
      </c>
      <c r="I36" s="57">
        <v>88.5</v>
      </c>
      <c r="K36" s="73"/>
      <c r="L36" s="73"/>
    </row>
    <row r="37" spans="1:12" ht="13.8">
      <c r="A37" s="16" t="s">
        <v>42</v>
      </c>
      <c r="B37" s="57">
        <v>68.14</v>
      </c>
      <c r="C37" s="57">
        <v>105.1</v>
      </c>
      <c r="D37" s="57">
        <v>92.3</v>
      </c>
      <c r="E37" s="57">
        <v>74.05</v>
      </c>
      <c r="F37" s="57">
        <v>101</v>
      </c>
      <c r="G37" s="57">
        <v>60</v>
      </c>
      <c r="H37" s="57" t="s">
        <v>75</v>
      </c>
      <c r="I37" s="57">
        <v>84</v>
      </c>
      <c r="K37" s="73"/>
      <c r="L37" s="73"/>
    </row>
    <row r="38" spans="1:12" ht="13.8">
      <c r="A38" s="16" t="s">
        <v>43</v>
      </c>
      <c r="B38" s="57">
        <v>66</v>
      </c>
      <c r="C38" s="57">
        <v>102.1875</v>
      </c>
      <c r="D38" s="57">
        <v>85.75</v>
      </c>
      <c r="E38" s="57">
        <v>71.1875</v>
      </c>
      <c r="F38" s="57">
        <v>95.375</v>
      </c>
      <c r="G38" s="57">
        <v>61</v>
      </c>
      <c r="H38" s="57">
        <v>87</v>
      </c>
      <c r="I38" s="57">
        <v>76.125</v>
      </c>
      <c r="K38" s="73"/>
      <c r="L38" s="73"/>
    </row>
    <row r="39" spans="1:12" ht="13.8">
      <c r="A39" s="16" t="s">
        <v>44</v>
      </c>
      <c r="B39" s="57">
        <v>63.242500000000007</v>
      </c>
      <c r="C39" s="57">
        <v>100</v>
      </c>
      <c r="D39" s="57">
        <v>81.25</v>
      </c>
      <c r="E39" s="57">
        <v>68.25</v>
      </c>
      <c r="F39" s="57">
        <v>88</v>
      </c>
      <c r="G39" s="57" t="s">
        <v>75</v>
      </c>
      <c r="H39" s="57" t="s">
        <v>75</v>
      </c>
      <c r="I39" s="57">
        <v>63.95</v>
      </c>
      <c r="K39" s="73"/>
      <c r="L39" s="73"/>
    </row>
    <row r="40" spans="1:12" ht="13.8">
      <c r="A40" s="15" t="s">
        <v>46</v>
      </c>
      <c r="B40" s="14">
        <v>58.83</v>
      </c>
      <c r="C40" s="14">
        <v>96.55</v>
      </c>
      <c r="D40" s="14">
        <v>76.599999999999994</v>
      </c>
      <c r="E40" s="14">
        <v>64.599999999999994</v>
      </c>
      <c r="F40" s="14">
        <v>84.4</v>
      </c>
      <c r="G40" s="14" t="s">
        <v>75</v>
      </c>
      <c r="H40" s="14" t="s">
        <v>75</v>
      </c>
      <c r="I40" s="14">
        <v>66.25</v>
      </c>
      <c r="K40" s="73"/>
      <c r="L40" s="73"/>
    </row>
    <row r="41" spans="1:12" ht="16.2">
      <c r="A41" s="49" t="s">
        <v>136</v>
      </c>
      <c r="B41" s="71"/>
      <c r="C41" s="71"/>
      <c r="D41" s="71"/>
      <c r="E41" s="71"/>
      <c r="F41" s="71"/>
      <c r="G41" s="71"/>
      <c r="H41" s="71"/>
      <c r="I41" s="71"/>
    </row>
    <row r="42" spans="1:12" ht="16.2">
      <c r="A42" s="16" t="s">
        <v>137</v>
      </c>
      <c r="B42" s="71"/>
      <c r="C42" s="71"/>
      <c r="D42" s="71"/>
      <c r="E42" s="71"/>
      <c r="F42" s="71"/>
      <c r="G42" s="71"/>
      <c r="H42" s="71"/>
      <c r="I42" s="71"/>
    </row>
    <row r="43" spans="1:12" ht="14.4">
      <c r="A43" s="16" t="s">
        <v>207</v>
      </c>
      <c r="B43" s="16"/>
      <c r="C43" s="16"/>
      <c r="D43" s="16"/>
      <c r="E43" s="16"/>
      <c r="F43" s="71"/>
      <c r="G43" s="16"/>
      <c r="H43" s="16"/>
      <c r="I43" s="16"/>
    </row>
    <row r="44" spans="1:12" ht="13.8">
      <c r="A44" s="21" t="s">
        <v>56</v>
      </c>
      <c r="B44" s="43">
        <f>Contents!A16</f>
        <v>45027</v>
      </c>
      <c r="C44" s="16"/>
      <c r="D44" s="16"/>
      <c r="E44" s="16"/>
      <c r="F44" s="16"/>
      <c r="G44" s="16"/>
      <c r="H44" s="16"/>
      <c r="I44" s="16"/>
    </row>
    <row r="45" spans="1:12" ht="15.6">
      <c r="C45" s="72"/>
      <c r="G45" s="72"/>
      <c r="H45" s="72"/>
      <c r="I45" s="72"/>
    </row>
    <row r="46" spans="1:12" ht="15.6">
      <c r="B46" s="73"/>
      <c r="C46" s="73"/>
      <c r="D46" s="73"/>
      <c r="E46" s="73"/>
      <c r="F46" s="73"/>
      <c r="G46" s="73"/>
      <c r="H46" s="72"/>
      <c r="I46" s="72"/>
    </row>
    <row r="47" spans="1:12" ht="15.6">
      <c r="B47" s="110"/>
      <c r="C47" s="110"/>
      <c r="D47" s="110"/>
      <c r="E47" s="110"/>
      <c r="F47" s="110"/>
      <c r="G47" s="110"/>
      <c r="H47" s="72"/>
      <c r="I47" s="72"/>
    </row>
    <row r="48" spans="1:12" ht="15.6">
      <c r="C48" s="72"/>
      <c r="G48" s="72"/>
      <c r="H48" s="72"/>
      <c r="I48" s="72"/>
    </row>
    <row r="49" spans="3:9" ht="15.6">
      <c r="C49" s="72"/>
      <c r="G49" s="72"/>
      <c r="H49" s="72"/>
      <c r="I49" s="72"/>
    </row>
    <row r="50" spans="3:9" ht="15.6">
      <c r="C50" s="72"/>
      <c r="G50" s="72"/>
      <c r="H50" s="72"/>
      <c r="I50" s="72"/>
    </row>
    <row r="51" spans="3:9" ht="15.6">
      <c r="C51" s="72"/>
      <c r="G51" s="72"/>
      <c r="H51" s="72"/>
      <c r="I51" s="72"/>
    </row>
    <row r="52" spans="3:9" ht="15.6">
      <c r="C52" s="72"/>
      <c r="G52" s="72"/>
      <c r="H52" s="72"/>
      <c r="I52" s="72"/>
    </row>
    <row r="53" spans="3:9" ht="15.6">
      <c r="C53" s="72"/>
      <c r="G53" s="72"/>
      <c r="H53" s="72"/>
      <c r="I53" s="72"/>
    </row>
    <row r="54" spans="3:9" ht="15.6">
      <c r="C54" s="72"/>
      <c r="G54" s="72"/>
      <c r="H54" s="72"/>
      <c r="I54" s="72"/>
    </row>
    <row r="55" spans="3:9" ht="15.6">
      <c r="C55" s="72"/>
      <c r="G55" s="72"/>
      <c r="H55" s="72"/>
      <c r="I55" s="72"/>
    </row>
    <row r="56" spans="3:9" ht="15.6">
      <c r="C56" s="72"/>
      <c r="G56" s="72"/>
      <c r="H56" s="72"/>
      <c r="I56" s="72"/>
    </row>
    <row r="57" spans="3:9" ht="15.6">
      <c r="C57" s="72"/>
      <c r="G57" s="72"/>
      <c r="H57" s="72"/>
      <c r="I57" s="72"/>
    </row>
    <row r="58" spans="3:9" ht="15.6">
      <c r="C58" s="72"/>
      <c r="G58" s="72"/>
      <c r="H58" s="72"/>
      <c r="I58" s="72"/>
    </row>
    <row r="59" spans="3:9" ht="15.6">
      <c r="C59" s="72"/>
      <c r="G59" s="72"/>
      <c r="H59" s="72"/>
      <c r="I59" s="72"/>
    </row>
    <row r="60" spans="3:9" ht="15.6">
      <c r="C60" s="72"/>
      <c r="G60" s="72"/>
      <c r="H60" s="72"/>
      <c r="I60" s="72"/>
    </row>
    <row r="61" spans="3:9" ht="15.6">
      <c r="C61" s="72"/>
      <c r="H61" s="72"/>
      <c r="I61" s="72"/>
    </row>
    <row r="62" spans="3:9" ht="15.6">
      <c r="C62" s="72"/>
      <c r="H62" s="72"/>
      <c r="I62" s="72"/>
    </row>
    <row r="63" spans="3:9" ht="15.6">
      <c r="C63" s="72"/>
      <c r="F63" s="73"/>
      <c r="H63" s="72"/>
      <c r="I63" s="72"/>
    </row>
    <row r="64" spans="3:9" ht="15.6">
      <c r="F64" s="73"/>
      <c r="H64" s="72"/>
      <c r="I64" s="72"/>
    </row>
  </sheetData>
  <phoneticPr fontId="26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4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7" width="13.6640625" customWidth="1"/>
    <col min="8" max="8" width="10.10937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5" t="s">
        <v>10</v>
      </c>
      <c r="B1" s="15"/>
      <c r="C1" s="15"/>
      <c r="D1" s="15"/>
      <c r="E1" s="15"/>
      <c r="F1" s="15"/>
      <c r="G1" s="15"/>
    </row>
    <row r="2" spans="1:28" ht="15.6" customHeight="1">
      <c r="A2" s="16" t="s">
        <v>93</v>
      </c>
      <c r="B2" s="18" t="s">
        <v>119</v>
      </c>
      <c r="C2" s="74" t="s">
        <v>120</v>
      </c>
      <c r="D2" s="74" t="s">
        <v>121</v>
      </c>
      <c r="E2" s="74" t="s">
        <v>123</v>
      </c>
      <c r="F2" s="18" t="s">
        <v>138</v>
      </c>
      <c r="G2" s="18" t="s">
        <v>139</v>
      </c>
      <c r="AB2" s="75"/>
    </row>
    <row r="3" spans="1:28" ht="15.6" customHeight="1">
      <c r="A3" s="15" t="s">
        <v>100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144</v>
      </c>
      <c r="G3" s="24" t="s">
        <v>145</v>
      </c>
      <c r="AB3" s="75"/>
    </row>
    <row r="4" spans="1:28" ht="14.4">
      <c r="A4" s="67" t="s">
        <v>146</v>
      </c>
      <c r="C4" s="68"/>
      <c r="D4" s="68"/>
      <c r="E4" s="68"/>
      <c r="F4" s="68"/>
      <c r="G4" s="68"/>
      <c r="AB4" s="75"/>
    </row>
    <row r="5" spans="1:28" ht="13.8">
      <c r="A5" s="16"/>
      <c r="B5" s="16"/>
      <c r="C5" s="16"/>
      <c r="D5" s="16"/>
      <c r="E5" s="16"/>
      <c r="F5" s="16"/>
      <c r="G5" s="16"/>
      <c r="AB5" s="75"/>
    </row>
    <row r="6" spans="1:28" ht="13.8">
      <c r="A6" s="16" t="s">
        <v>105</v>
      </c>
      <c r="B6" s="70">
        <v>345.52</v>
      </c>
      <c r="C6" s="70">
        <v>273.83999999999997</v>
      </c>
      <c r="D6" s="70">
        <v>219.72</v>
      </c>
      <c r="E6" s="61" t="s">
        <v>75</v>
      </c>
      <c r="F6" s="70">
        <v>263.63</v>
      </c>
      <c r="G6" s="70">
        <v>240.65</v>
      </c>
      <c r="AB6" s="75"/>
    </row>
    <row r="7" spans="1:28" ht="13.8">
      <c r="A7" s="16" t="s">
        <v>106</v>
      </c>
      <c r="B7" s="70">
        <v>393.53</v>
      </c>
      <c r="C7" s="70">
        <v>275.13</v>
      </c>
      <c r="D7" s="70">
        <v>246.75</v>
      </c>
      <c r="E7" s="61" t="s">
        <v>75</v>
      </c>
      <c r="F7" s="70">
        <v>307.58999999999997</v>
      </c>
      <c r="G7" s="70">
        <v>265.68</v>
      </c>
      <c r="AB7" s="75"/>
    </row>
    <row r="8" spans="1:28" ht="13.8">
      <c r="A8" s="16" t="s">
        <v>107</v>
      </c>
      <c r="B8" s="70">
        <v>468.11</v>
      </c>
      <c r="C8" s="70">
        <v>331.52</v>
      </c>
      <c r="D8" s="70">
        <v>241.57</v>
      </c>
      <c r="E8" s="61" t="s">
        <v>75</v>
      </c>
      <c r="F8" s="70">
        <v>354.22</v>
      </c>
      <c r="G8" s="70">
        <v>329.31</v>
      </c>
      <c r="AB8" s="75"/>
    </row>
    <row r="9" spans="1:28" ht="13.8">
      <c r="A9" s="16" t="s">
        <v>108</v>
      </c>
      <c r="B9" s="70">
        <v>489.94</v>
      </c>
      <c r="C9" s="70">
        <v>377.71</v>
      </c>
      <c r="D9" s="70">
        <v>238.87</v>
      </c>
      <c r="E9" s="61" t="s">
        <v>75</v>
      </c>
      <c r="F9" s="70">
        <v>359.7</v>
      </c>
      <c r="G9" s="70">
        <v>337.23</v>
      </c>
      <c r="AB9" s="75"/>
    </row>
    <row r="10" spans="1:28" ht="13.8">
      <c r="A10" s="16" t="s">
        <v>109</v>
      </c>
      <c r="B10" s="70">
        <v>368.49</v>
      </c>
      <c r="C10" s="70">
        <v>304.27</v>
      </c>
      <c r="D10" s="70">
        <v>209.97</v>
      </c>
      <c r="E10" s="61" t="s">
        <v>75</v>
      </c>
      <c r="F10" s="70">
        <v>301.2</v>
      </c>
      <c r="G10" s="70">
        <v>256.58</v>
      </c>
      <c r="AB10" s="75"/>
    </row>
    <row r="11" spans="1:28" ht="13.8">
      <c r="A11" s="16" t="s">
        <v>110</v>
      </c>
      <c r="B11" s="70">
        <v>324.56</v>
      </c>
      <c r="C11" s="70">
        <v>261.19</v>
      </c>
      <c r="D11" s="70">
        <v>153.16999999999999</v>
      </c>
      <c r="E11" s="61" t="s">
        <v>75</v>
      </c>
      <c r="F11" s="70">
        <v>262.2</v>
      </c>
      <c r="G11" s="70">
        <v>260.23</v>
      </c>
      <c r="AB11" s="75"/>
    </row>
    <row r="12" spans="1:28" ht="13.8">
      <c r="A12" s="16" t="s">
        <v>111</v>
      </c>
      <c r="B12" s="70">
        <v>316.88</v>
      </c>
      <c r="C12" s="70">
        <v>208.61</v>
      </c>
      <c r="D12" s="70">
        <v>145.1</v>
      </c>
      <c r="E12" s="61" t="s">
        <v>75</v>
      </c>
      <c r="F12" s="70">
        <v>267.94</v>
      </c>
      <c r="G12" s="70">
        <v>282.49</v>
      </c>
      <c r="AB12" s="75"/>
    </row>
    <row r="13" spans="1:28" ht="13.8">
      <c r="A13" s="16" t="s">
        <v>112</v>
      </c>
      <c r="B13" s="70">
        <v>345.02</v>
      </c>
      <c r="C13" s="70">
        <v>260.88</v>
      </c>
      <c r="D13" s="70">
        <v>173.53</v>
      </c>
      <c r="E13" s="61" t="s">
        <v>75</v>
      </c>
      <c r="F13" s="70">
        <v>291.14999999999998</v>
      </c>
      <c r="G13" s="70">
        <v>239.15</v>
      </c>
    </row>
    <row r="14" spans="1:28" ht="13.8">
      <c r="A14" s="16" t="s">
        <v>113</v>
      </c>
      <c r="B14" s="70">
        <v>308.27999999999997</v>
      </c>
      <c r="C14" s="70">
        <v>228.64</v>
      </c>
      <c r="D14" s="70">
        <v>164.16</v>
      </c>
      <c r="E14" s="61" t="s">
        <v>75</v>
      </c>
      <c r="F14" s="70">
        <v>272.38</v>
      </c>
      <c r="G14" s="70">
        <v>225.77</v>
      </c>
    </row>
    <row r="15" spans="1:28" ht="13.8">
      <c r="A15" s="16" t="s">
        <v>114</v>
      </c>
      <c r="B15" s="70">
        <v>299.5</v>
      </c>
      <c r="C15" s="70">
        <v>247.04</v>
      </c>
      <c r="D15" s="70">
        <v>187.7</v>
      </c>
      <c r="E15" s="61" t="s">
        <v>75</v>
      </c>
      <c r="F15" s="70">
        <v>273.99</v>
      </c>
      <c r="G15" s="70">
        <v>245.88</v>
      </c>
    </row>
    <row r="16" spans="1:28" ht="13.8">
      <c r="A16" s="16" t="s">
        <v>34</v>
      </c>
      <c r="B16" s="70">
        <v>392.31</v>
      </c>
      <c r="C16" s="70">
        <v>375.51</v>
      </c>
      <c r="D16" s="123">
        <v>246.22</v>
      </c>
      <c r="E16" s="61" t="s">
        <v>75</v>
      </c>
      <c r="F16" s="70">
        <v>351.87</v>
      </c>
      <c r="G16" s="70">
        <v>288.12</v>
      </c>
    </row>
    <row r="17" spans="1:13" ht="16.2">
      <c r="A17" s="16" t="s">
        <v>134</v>
      </c>
      <c r="B17" s="70">
        <v>439.81</v>
      </c>
      <c r="C17" s="70">
        <v>355.33</v>
      </c>
      <c r="D17" s="70">
        <v>279.98</v>
      </c>
      <c r="E17" s="61" t="s">
        <v>75</v>
      </c>
      <c r="F17" s="70">
        <v>439.1</v>
      </c>
      <c r="G17" s="70">
        <v>332.21</v>
      </c>
    </row>
    <row r="18" spans="1:13" ht="16.2">
      <c r="A18" s="16" t="s">
        <v>135</v>
      </c>
      <c r="B18" s="70">
        <v>465</v>
      </c>
      <c r="C18" s="70">
        <v>400</v>
      </c>
      <c r="D18" s="70">
        <v>295</v>
      </c>
      <c r="E18" s="61" t="s">
        <v>75</v>
      </c>
      <c r="F18" s="70">
        <v>445</v>
      </c>
      <c r="G18" s="123">
        <v>380</v>
      </c>
      <c r="I18" s="73"/>
    </row>
    <row r="19" spans="1:13" ht="13.8">
      <c r="A19" s="16"/>
      <c r="B19" s="70"/>
      <c r="C19" s="70"/>
      <c r="D19" s="70"/>
      <c r="E19" s="61"/>
      <c r="F19" s="70"/>
      <c r="G19" s="70"/>
      <c r="I19" s="76"/>
      <c r="J19" s="77"/>
      <c r="K19" s="77"/>
      <c r="L19" s="77"/>
      <c r="M19" s="77"/>
    </row>
    <row r="20" spans="1:13" ht="13.8">
      <c r="A20" s="36" t="s">
        <v>37</v>
      </c>
      <c r="B20" s="70"/>
      <c r="C20" s="70"/>
      <c r="D20" s="70"/>
      <c r="E20" s="57"/>
      <c r="F20" s="70"/>
      <c r="G20" s="70"/>
      <c r="H20" s="57"/>
    </row>
    <row r="21" spans="1:13" ht="13.8">
      <c r="A21" s="16" t="s">
        <v>39</v>
      </c>
      <c r="B21" s="70">
        <v>325.43</v>
      </c>
      <c r="C21" s="70">
        <v>298.75</v>
      </c>
      <c r="D21" s="70">
        <v>222.5</v>
      </c>
      <c r="E21" s="61" t="s">
        <v>75</v>
      </c>
      <c r="F21" s="70">
        <v>322.82499999999999</v>
      </c>
      <c r="G21" s="70">
        <v>265.625</v>
      </c>
      <c r="H21" s="57"/>
      <c r="I21" s="73"/>
    </row>
    <row r="22" spans="1:13" ht="13.8">
      <c r="A22" s="16" t="s">
        <v>40</v>
      </c>
      <c r="B22" s="70">
        <v>358.73</v>
      </c>
      <c r="C22" s="70">
        <v>304.5</v>
      </c>
      <c r="D22" s="70">
        <v>256.5</v>
      </c>
      <c r="E22" s="61" t="s">
        <v>75</v>
      </c>
      <c r="F22" s="70">
        <v>350.21999999999997</v>
      </c>
      <c r="G22" s="70">
        <v>252</v>
      </c>
      <c r="H22" s="57"/>
      <c r="I22" s="73"/>
    </row>
    <row r="23" spans="1:13" ht="13.8">
      <c r="A23" s="16" t="s">
        <v>42</v>
      </c>
      <c r="B23" s="70">
        <v>399.53</v>
      </c>
      <c r="C23" s="70">
        <v>311.25</v>
      </c>
      <c r="D23" s="70">
        <v>289.16666666666669</v>
      </c>
      <c r="E23" s="61" t="s">
        <v>75</v>
      </c>
      <c r="F23" s="70">
        <v>382.9666666666667</v>
      </c>
      <c r="G23" s="70">
        <v>309.16666666666669</v>
      </c>
      <c r="H23" s="57"/>
      <c r="I23" s="73"/>
    </row>
    <row r="24" spans="1:13" ht="13.8">
      <c r="A24" s="16" t="s">
        <v>147</v>
      </c>
      <c r="B24" s="70">
        <v>421.21</v>
      </c>
      <c r="C24" s="70">
        <v>318.125</v>
      </c>
      <c r="D24" s="70">
        <v>301.25</v>
      </c>
      <c r="E24" s="61" t="s">
        <v>75</v>
      </c>
      <c r="F24" s="70">
        <v>410.875</v>
      </c>
      <c r="G24" s="70">
        <v>326.25</v>
      </c>
      <c r="H24" s="57"/>
      <c r="I24" s="73"/>
    </row>
    <row r="25" spans="1:13" ht="13.8">
      <c r="A25" s="16" t="s">
        <v>44</v>
      </c>
      <c r="B25" s="123">
        <v>460.45</v>
      </c>
      <c r="C25" s="70">
        <v>333.75</v>
      </c>
      <c r="D25" s="70">
        <v>320</v>
      </c>
      <c r="E25" s="61" t="s">
        <v>75</v>
      </c>
      <c r="F25" s="70">
        <v>454.625</v>
      </c>
      <c r="G25" s="70">
        <v>350</v>
      </c>
      <c r="H25" s="57"/>
      <c r="I25" s="73"/>
    </row>
    <row r="26" spans="1:13" ht="13.8">
      <c r="A26" s="16" t="s">
        <v>46</v>
      </c>
      <c r="B26" s="123">
        <v>493.97500000000002</v>
      </c>
      <c r="C26" s="70">
        <v>345.625</v>
      </c>
      <c r="D26" s="70">
        <v>333.33300000000003</v>
      </c>
      <c r="E26" s="61" t="s">
        <v>75</v>
      </c>
      <c r="F26" s="70">
        <v>487.03750000000002</v>
      </c>
      <c r="G26" s="70">
        <v>392.5</v>
      </c>
      <c r="H26" s="57"/>
      <c r="I26" s="73"/>
    </row>
    <row r="27" spans="1:13" ht="13.8">
      <c r="A27" s="16" t="s">
        <v>47</v>
      </c>
      <c r="B27" s="123">
        <v>475.35999999999996</v>
      </c>
      <c r="C27" s="70">
        <v>355</v>
      </c>
      <c r="D27" s="70">
        <v>321</v>
      </c>
      <c r="E27" s="61" t="s">
        <v>75</v>
      </c>
      <c r="F27" s="70">
        <v>470.77999999999992</v>
      </c>
      <c r="G27" s="70">
        <v>386</v>
      </c>
      <c r="H27" s="57"/>
      <c r="I27" s="73"/>
    </row>
    <row r="28" spans="1:13" ht="13.8">
      <c r="A28" s="16" t="s">
        <v>48</v>
      </c>
      <c r="B28" s="123">
        <v>441.27499999999998</v>
      </c>
      <c r="C28" s="70">
        <v>388.75</v>
      </c>
      <c r="D28" s="70">
        <v>285.625</v>
      </c>
      <c r="E28" s="61" t="s">
        <v>75</v>
      </c>
      <c r="F28" s="70">
        <v>454.5</v>
      </c>
      <c r="G28" s="70">
        <v>351.25</v>
      </c>
      <c r="H28" s="57"/>
      <c r="I28" s="73"/>
    </row>
    <row r="29" spans="1:13" ht="13.8">
      <c r="A29" s="16" t="s">
        <v>50</v>
      </c>
      <c r="B29" s="123">
        <v>445.92499999999995</v>
      </c>
      <c r="C29" s="70">
        <v>383.75</v>
      </c>
      <c r="D29" s="70">
        <v>281.875</v>
      </c>
      <c r="E29" s="61" t="s">
        <v>75</v>
      </c>
      <c r="F29" s="70">
        <v>478.17499999999995</v>
      </c>
      <c r="G29" s="70">
        <v>322.5</v>
      </c>
      <c r="H29" s="57"/>
      <c r="I29" s="73"/>
    </row>
    <row r="30" spans="1:13" ht="13.8">
      <c r="A30" s="16" t="s">
        <v>51</v>
      </c>
      <c r="B30" s="123">
        <v>467.87</v>
      </c>
      <c r="C30" s="70">
        <v>369.5</v>
      </c>
      <c r="D30" s="70">
        <v>268.5</v>
      </c>
      <c r="E30" s="61" t="s">
        <v>75</v>
      </c>
      <c r="F30" s="70">
        <v>501.17999999999995</v>
      </c>
      <c r="G30" s="70">
        <v>351.5</v>
      </c>
      <c r="H30" s="57"/>
      <c r="I30" s="73"/>
    </row>
    <row r="31" spans="1:13" ht="13.8">
      <c r="A31" s="16" t="s">
        <v>52</v>
      </c>
      <c r="B31" s="123">
        <v>510.90000000000009</v>
      </c>
      <c r="C31" s="70">
        <v>405</v>
      </c>
      <c r="D31" s="70">
        <v>255</v>
      </c>
      <c r="E31" s="61" t="s">
        <v>75</v>
      </c>
      <c r="F31" s="70">
        <v>521.52500000000009</v>
      </c>
      <c r="G31" s="70">
        <v>347.5</v>
      </c>
      <c r="H31" s="57"/>
      <c r="I31" s="73"/>
    </row>
    <row r="32" spans="1:13" ht="13.8">
      <c r="A32" s="16" t="s">
        <v>38</v>
      </c>
      <c r="B32" s="123">
        <v>473.93999999999994</v>
      </c>
      <c r="C32" s="70">
        <v>450</v>
      </c>
      <c r="D32" s="70">
        <v>225</v>
      </c>
      <c r="E32" s="61" t="s">
        <v>75</v>
      </c>
      <c r="F32" s="70">
        <v>434.53999999999996</v>
      </c>
      <c r="G32" s="70" t="s">
        <v>75</v>
      </c>
      <c r="H32" s="57"/>
    </row>
    <row r="33" spans="1:10" ht="13.8">
      <c r="A33" s="16"/>
      <c r="B33" s="123"/>
      <c r="C33" s="70"/>
      <c r="D33" s="70"/>
      <c r="E33" s="61"/>
      <c r="F33" s="70"/>
      <c r="G33" s="70"/>
      <c r="H33" s="57"/>
    </row>
    <row r="34" spans="1:10" ht="13.8">
      <c r="A34" s="36" t="s">
        <v>54</v>
      </c>
      <c r="B34" s="123"/>
      <c r="C34" s="70"/>
      <c r="D34" s="70"/>
      <c r="E34" s="61"/>
      <c r="F34" s="70"/>
      <c r="G34" s="70"/>
      <c r="H34" s="57"/>
    </row>
    <row r="35" spans="1:10" ht="13.8">
      <c r="A35" s="16" t="s">
        <v>39</v>
      </c>
      <c r="B35" s="123">
        <v>468.67499999999995</v>
      </c>
      <c r="C35" s="70">
        <v>451.875</v>
      </c>
      <c r="D35" s="70" t="s">
        <v>75</v>
      </c>
      <c r="E35" s="61" t="s">
        <v>75</v>
      </c>
      <c r="F35" s="70">
        <v>409.17499999999995</v>
      </c>
      <c r="G35" s="70" t="s">
        <v>75</v>
      </c>
      <c r="H35" s="57"/>
    </row>
    <row r="36" spans="1:10" ht="13.8">
      <c r="A36" s="16" t="s">
        <v>40</v>
      </c>
      <c r="B36" s="123">
        <v>436.74999999999994</v>
      </c>
      <c r="C36" s="70">
        <v>405</v>
      </c>
      <c r="D36" s="70" t="s">
        <v>75</v>
      </c>
      <c r="E36" s="61" t="s">
        <v>75</v>
      </c>
      <c r="F36" s="70">
        <v>402.99999999999994</v>
      </c>
      <c r="G36" s="70">
        <v>357.5</v>
      </c>
      <c r="H36" s="57"/>
      <c r="I36" s="73"/>
    </row>
    <row r="37" spans="1:10" ht="13.8">
      <c r="A37" s="16" t="s">
        <v>42</v>
      </c>
      <c r="B37" s="123">
        <v>462.85</v>
      </c>
      <c r="C37" s="70">
        <v>390.625</v>
      </c>
      <c r="D37" s="70">
        <v>200</v>
      </c>
      <c r="E37" s="61" t="s">
        <v>75</v>
      </c>
      <c r="F37" s="70">
        <v>437.09999999999997</v>
      </c>
      <c r="G37" s="70">
        <v>368.5</v>
      </c>
      <c r="H37" s="57"/>
      <c r="I37" s="73"/>
    </row>
    <row r="38" spans="1:10" ht="13.8">
      <c r="A38" s="16" t="s">
        <v>43</v>
      </c>
      <c r="B38" s="123">
        <v>482.40000000000003</v>
      </c>
      <c r="C38" s="70">
        <v>386.25</v>
      </c>
      <c r="D38" s="70">
        <v>355</v>
      </c>
      <c r="E38" s="61" t="s">
        <v>75</v>
      </c>
      <c r="F38" s="70">
        <v>474.02500000000003</v>
      </c>
      <c r="G38" s="70">
        <v>397.5</v>
      </c>
      <c r="I38" s="73"/>
    </row>
    <row r="39" spans="1:10" ht="13.8">
      <c r="A39" s="16" t="s">
        <v>44</v>
      </c>
      <c r="B39" s="123">
        <v>500.52499999999998</v>
      </c>
      <c r="C39" s="70">
        <v>392.5</v>
      </c>
      <c r="D39" s="70">
        <v>336.25</v>
      </c>
      <c r="E39" s="61" t="s">
        <v>75</v>
      </c>
      <c r="F39" s="70">
        <v>501.02499999999998</v>
      </c>
      <c r="G39" s="70">
        <v>412.5</v>
      </c>
      <c r="I39" s="73"/>
    </row>
    <row r="40" spans="1:10" ht="13.8">
      <c r="A40" s="15" t="s">
        <v>46</v>
      </c>
      <c r="B40" s="124">
        <v>484.4</v>
      </c>
      <c r="C40" s="122">
        <v>386.25</v>
      </c>
      <c r="D40" s="122">
        <v>308</v>
      </c>
      <c r="E40" s="103" t="s">
        <v>75</v>
      </c>
      <c r="F40" s="122">
        <v>466.6</v>
      </c>
      <c r="G40" s="122">
        <v>380.4</v>
      </c>
      <c r="I40" s="73"/>
    </row>
    <row r="41" spans="1:10" ht="16.2">
      <c r="A41" s="49" t="s">
        <v>148</v>
      </c>
      <c r="B41" s="78"/>
      <c r="C41" s="78"/>
      <c r="D41" s="78"/>
      <c r="E41" s="78"/>
      <c r="F41" s="78"/>
      <c r="G41" s="78"/>
      <c r="I41" s="76"/>
    </row>
    <row r="42" spans="1:10" ht="16.2">
      <c r="A42" s="49" t="s">
        <v>149</v>
      </c>
      <c r="B42" s="79"/>
      <c r="C42" s="79"/>
      <c r="D42" s="79"/>
      <c r="E42" s="79"/>
      <c r="F42" s="79"/>
      <c r="G42" s="79"/>
      <c r="I42" s="76"/>
      <c r="J42" s="76"/>
    </row>
    <row r="43" spans="1:10" ht="14.4">
      <c r="A43" s="16" t="s">
        <v>208</v>
      </c>
      <c r="B43" s="16"/>
      <c r="C43" s="16"/>
      <c r="D43" s="16"/>
      <c r="E43" s="16"/>
      <c r="F43" s="79"/>
      <c r="G43" s="79"/>
      <c r="I43" s="76"/>
      <c r="J43" s="76"/>
    </row>
    <row r="44" spans="1:10" ht="13.8">
      <c r="A44" s="21" t="s">
        <v>56</v>
      </c>
      <c r="B44" s="43">
        <f>Contents!A16</f>
        <v>45027</v>
      </c>
      <c r="C44" s="16"/>
      <c r="D44" s="16"/>
      <c r="E44" s="16"/>
      <c r="F44" s="79"/>
      <c r="G44" s="79"/>
      <c r="I44" s="80"/>
      <c r="J44" s="80"/>
    </row>
    <row r="45" spans="1:10" ht="13.8">
      <c r="F45" s="79"/>
      <c r="G45" s="79"/>
      <c r="I45" s="80"/>
      <c r="J45" s="80"/>
    </row>
    <row r="46" spans="1:10" ht="13.8">
      <c r="F46" s="79"/>
      <c r="G46" s="79"/>
      <c r="I46" s="76"/>
      <c r="J46" s="76"/>
    </row>
    <row r="47" spans="1:10">
      <c r="B47" s="73"/>
      <c r="I47" s="76"/>
      <c r="J47" s="76"/>
    </row>
    <row r="48" spans="1:10">
      <c r="I48" s="76"/>
      <c r="J48" s="76"/>
    </row>
    <row r="49" spans="9:10">
      <c r="I49" s="76"/>
      <c r="J49" s="76"/>
    </row>
    <row r="50" spans="9:10">
      <c r="I50" s="76"/>
      <c r="J50" s="76"/>
    </row>
    <row r="51" spans="9:10">
      <c r="I51" s="76"/>
      <c r="J51" s="76"/>
    </row>
    <row r="53" spans="9:10">
      <c r="I53" s="81"/>
      <c r="J53" s="81"/>
    </row>
    <row r="54" spans="9:10">
      <c r="I54" s="81"/>
      <c r="J54" s="81"/>
    </row>
  </sheetData>
  <phoneticPr fontId="26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8FB23-BC93-4C74-BC8A-DD966CD3F54A}">
  <dimension ref="A1:C91"/>
  <sheetViews>
    <sheetView zoomScaleNormal="100" workbookViewId="0"/>
  </sheetViews>
  <sheetFormatPr defaultColWidth="9.109375" defaultRowHeight="13.2"/>
  <cols>
    <col min="1" max="1" width="14.6640625" style="113" bestFit="1" customWidth="1"/>
    <col min="2" max="2" width="12.33203125" style="113" customWidth="1"/>
    <col min="3" max="3" width="10.6640625" style="113" customWidth="1"/>
    <col min="4" max="16384" width="9.109375" style="113"/>
  </cols>
  <sheetData>
    <row r="1" spans="1:3">
      <c r="A1" s="135" t="s">
        <v>150</v>
      </c>
      <c r="B1" s="156" t="s">
        <v>54</v>
      </c>
      <c r="C1" s="156" t="s">
        <v>156</v>
      </c>
    </row>
    <row r="2" spans="1:3">
      <c r="A2" s="136" t="s">
        <v>154</v>
      </c>
      <c r="B2" s="137">
        <v>6.75</v>
      </c>
      <c r="C2" s="137">
        <v>6.57</v>
      </c>
    </row>
    <row r="3" spans="1:3">
      <c r="A3" s="138" t="s">
        <v>209</v>
      </c>
      <c r="B3" s="139">
        <v>26.16</v>
      </c>
      <c r="C3" s="139">
        <v>25.9</v>
      </c>
    </row>
    <row r="4" spans="1:3">
      <c r="A4" s="138" t="s">
        <v>210</v>
      </c>
      <c r="B4" s="140">
        <v>23.65</v>
      </c>
      <c r="C4" s="140">
        <v>23.65</v>
      </c>
    </row>
    <row r="5" spans="1:3">
      <c r="A5" s="138" t="s">
        <v>211</v>
      </c>
      <c r="B5" s="139">
        <v>10.8</v>
      </c>
      <c r="C5" s="139">
        <v>10.35</v>
      </c>
    </row>
    <row r="6" spans="1:3">
      <c r="A6" s="138" t="s">
        <v>212</v>
      </c>
      <c r="B6" s="139">
        <v>10.8</v>
      </c>
      <c r="C6" s="139">
        <v>11.85</v>
      </c>
    </row>
    <row r="7" spans="1:3">
      <c r="A7" s="138" t="s">
        <v>155</v>
      </c>
      <c r="B7" s="139">
        <v>9.2899999999999991</v>
      </c>
      <c r="C7" s="139">
        <v>9.1850000000000005</v>
      </c>
    </row>
    <row r="8" spans="1:3">
      <c r="A8" s="138"/>
      <c r="B8" s="141"/>
      <c r="C8" s="141"/>
    </row>
    <row r="9" spans="1:3">
      <c r="B9" s="139"/>
      <c r="C9" s="139"/>
    </row>
    <row r="10" spans="1:3">
      <c r="A10" s="138"/>
      <c r="B10" s="139"/>
      <c r="C10" s="139"/>
    </row>
    <row r="11" spans="1:3">
      <c r="A11" s="138"/>
      <c r="B11" s="139"/>
      <c r="C11" s="139"/>
    </row>
    <row r="12" spans="1:3">
      <c r="A12" s="143"/>
      <c r="B12" s="139"/>
      <c r="C12" s="139"/>
    </row>
    <row r="13" spans="1:3">
      <c r="A13" s="144"/>
      <c r="B13" s="139"/>
      <c r="C13" s="139"/>
    </row>
    <row r="14" spans="1:3">
      <c r="A14" s="144"/>
      <c r="B14" s="155"/>
      <c r="C14" s="155"/>
    </row>
    <row r="15" spans="1:3">
      <c r="A15" s="144"/>
      <c r="B15" s="142"/>
      <c r="C15" s="142"/>
    </row>
    <row r="16" spans="1:3">
      <c r="A16" s="138"/>
      <c r="B16" s="145"/>
      <c r="C16" s="145"/>
    </row>
    <row r="17" spans="1:3">
      <c r="A17" s="138"/>
      <c r="B17" s="154"/>
      <c r="C17" s="154"/>
    </row>
    <row r="18" spans="1:3">
      <c r="A18" s="138"/>
      <c r="B18" s="154"/>
      <c r="C18" s="154"/>
    </row>
    <row r="19" spans="1:3">
      <c r="A19" s="138"/>
      <c r="B19" s="154"/>
      <c r="C19" s="154"/>
    </row>
    <row r="20" spans="1:3">
      <c r="A20" s="138"/>
      <c r="B20" s="154"/>
      <c r="C20" s="154"/>
    </row>
    <row r="21" spans="1:3">
      <c r="A21" s="138"/>
      <c r="B21" s="154"/>
      <c r="C21" s="154"/>
    </row>
    <row r="22" spans="1:3">
      <c r="A22" s="138"/>
      <c r="B22" s="154"/>
      <c r="C22" s="154"/>
    </row>
    <row r="23" spans="1:3">
      <c r="A23" s="138"/>
      <c r="B23" s="138"/>
      <c r="C23" s="138"/>
    </row>
    <row r="24" spans="1:3">
      <c r="A24" s="138"/>
      <c r="B24" s="138"/>
      <c r="C24" s="138"/>
    </row>
    <row r="25" spans="1:3">
      <c r="A25" s="138"/>
      <c r="B25" s="138"/>
      <c r="C25" s="138"/>
    </row>
    <row r="26" spans="1:3">
      <c r="A26" s="138"/>
      <c r="B26" s="138"/>
      <c r="C26" s="138"/>
    </row>
    <row r="27" spans="1:3">
      <c r="A27" s="138"/>
      <c r="B27" s="138"/>
      <c r="C27" s="138"/>
    </row>
    <row r="28" spans="1:3">
      <c r="A28" s="138"/>
      <c r="B28" s="138"/>
      <c r="C28" s="138"/>
    </row>
    <row r="29" spans="1:3">
      <c r="A29" s="138"/>
      <c r="B29" s="138"/>
      <c r="C29" s="138"/>
    </row>
    <row r="30" spans="1:3">
      <c r="A30" s="138"/>
      <c r="B30" s="138"/>
      <c r="C30" s="138"/>
    </row>
    <row r="31" spans="1:3">
      <c r="A31" s="138"/>
      <c r="B31" s="138"/>
      <c r="C31" s="138"/>
    </row>
    <row r="32" spans="1:3">
      <c r="A32" s="138"/>
      <c r="B32" s="138"/>
      <c r="C32" s="138"/>
    </row>
    <row r="33" spans="1:3">
      <c r="A33" s="138"/>
      <c r="B33" s="138"/>
      <c r="C33" s="138"/>
    </row>
    <row r="34" spans="1:3">
      <c r="A34" s="138"/>
      <c r="B34" s="138"/>
      <c r="C34" s="138"/>
    </row>
    <row r="35" spans="1:3">
      <c r="A35" s="138"/>
      <c r="B35" s="138"/>
      <c r="C35" s="138"/>
    </row>
    <row r="36" spans="1:3">
      <c r="A36" s="138"/>
      <c r="B36" s="138"/>
      <c r="C36" s="138"/>
    </row>
    <row r="37" spans="1:3">
      <c r="A37" s="138"/>
      <c r="B37" s="138"/>
      <c r="C37" s="138"/>
    </row>
    <row r="38" spans="1:3">
      <c r="A38" s="138"/>
      <c r="B38" s="138"/>
      <c r="C38" s="138"/>
    </row>
    <row r="39" spans="1:3">
      <c r="A39" s="138"/>
      <c r="B39" s="138"/>
      <c r="C39" s="138"/>
    </row>
    <row r="40" spans="1:3">
      <c r="A40" s="138"/>
      <c r="B40" s="138"/>
      <c r="C40" s="138"/>
    </row>
    <row r="41" spans="1:3">
      <c r="A41" s="138"/>
      <c r="B41" s="138"/>
      <c r="C41" s="138"/>
    </row>
    <row r="42" spans="1:3">
      <c r="A42" s="138"/>
      <c r="B42" s="138"/>
      <c r="C42" s="138"/>
    </row>
    <row r="43" spans="1:3">
      <c r="A43" s="138"/>
      <c r="B43" s="138"/>
      <c r="C43" s="138"/>
    </row>
    <row r="44" spans="1:3">
      <c r="A44" s="138"/>
      <c r="B44" s="138"/>
      <c r="C44" s="138"/>
    </row>
    <row r="45" spans="1:3">
      <c r="A45" s="138"/>
      <c r="B45" s="138"/>
      <c r="C45" s="138"/>
    </row>
    <row r="46" spans="1:3">
      <c r="A46" s="138"/>
      <c r="B46" s="138"/>
      <c r="C46" s="138"/>
    </row>
    <row r="47" spans="1:3">
      <c r="A47" s="138"/>
      <c r="B47" s="138"/>
      <c r="C47" s="138"/>
    </row>
    <row r="48" spans="1:3">
      <c r="A48" s="138"/>
      <c r="B48" s="138"/>
      <c r="C48" s="138"/>
    </row>
    <row r="49" spans="1:3">
      <c r="A49" s="138"/>
      <c r="B49" s="138"/>
      <c r="C49" s="138"/>
    </row>
    <row r="50" spans="1:3">
      <c r="A50" s="138"/>
      <c r="B50" s="138"/>
      <c r="C50" s="138"/>
    </row>
    <row r="51" spans="1:3">
      <c r="A51" s="138"/>
      <c r="B51" s="138"/>
      <c r="C51" s="138"/>
    </row>
    <row r="52" spans="1:3">
      <c r="A52" s="138"/>
      <c r="B52" s="138"/>
      <c r="C52" s="138"/>
    </row>
    <row r="53" spans="1:3">
      <c r="A53" s="138"/>
      <c r="B53" s="138"/>
      <c r="C53" s="138"/>
    </row>
    <row r="54" spans="1:3">
      <c r="A54" s="138"/>
      <c r="B54" s="138"/>
      <c r="C54" s="138"/>
    </row>
    <row r="55" spans="1:3">
      <c r="A55" s="138"/>
      <c r="B55" s="138"/>
      <c r="C55" s="138"/>
    </row>
    <row r="56" spans="1:3">
      <c r="A56" s="138"/>
      <c r="B56" s="138"/>
      <c r="C56" s="138"/>
    </row>
    <row r="57" spans="1:3">
      <c r="A57" s="138"/>
      <c r="B57" s="138"/>
      <c r="C57" s="138"/>
    </row>
    <row r="58" spans="1:3">
      <c r="A58" s="138"/>
      <c r="B58" s="138"/>
      <c r="C58" s="138"/>
    </row>
    <row r="59" spans="1:3">
      <c r="A59" s="138"/>
      <c r="B59" s="138"/>
      <c r="C59" s="138"/>
    </row>
    <row r="60" spans="1:3">
      <c r="A60" s="138"/>
      <c r="B60" s="138"/>
      <c r="C60" s="138"/>
    </row>
    <row r="61" spans="1:3">
      <c r="A61" s="138"/>
      <c r="B61" s="138"/>
      <c r="C61" s="138"/>
    </row>
    <row r="62" spans="1:3">
      <c r="A62" s="138"/>
      <c r="B62" s="138"/>
      <c r="C62" s="138"/>
    </row>
    <row r="63" spans="1:3">
      <c r="A63" s="138"/>
      <c r="B63" s="138"/>
      <c r="C63" s="138"/>
    </row>
    <row r="64" spans="1:3">
      <c r="A64" s="138"/>
      <c r="B64" s="138"/>
      <c r="C64" s="138"/>
    </row>
    <row r="65" spans="1:3">
      <c r="A65" s="138"/>
      <c r="B65" s="138"/>
      <c r="C65" s="138"/>
    </row>
    <row r="66" spans="1:3">
      <c r="A66" s="138"/>
      <c r="B66" s="138"/>
      <c r="C66" s="138"/>
    </row>
    <row r="67" spans="1:3">
      <c r="A67" s="138"/>
      <c r="B67" s="138"/>
      <c r="C67" s="138"/>
    </row>
    <row r="68" spans="1:3">
      <c r="A68" s="138"/>
      <c r="B68" s="138"/>
      <c r="C68" s="138"/>
    </row>
    <row r="69" spans="1:3">
      <c r="A69" s="138"/>
      <c r="B69" s="138"/>
      <c r="C69" s="138"/>
    </row>
    <row r="70" spans="1:3">
      <c r="A70" s="138"/>
      <c r="B70" s="138"/>
      <c r="C70" s="138"/>
    </row>
    <row r="71" spans="1:3">
      <c r="A71" s="138"/>
      <c r="B71" s="138"/>
      <c r="C71" s="138"/>
    </row>
    <row r="72" spans="1:3">
      <c r="A72" s="138"/>
      <c r="B72" s="138"/>
      <c r="C72" s="138"/>
    </row>
    <row r="73" spans="1:3">
      <c r="A73" s="138"/>
      <c r="B73" s="138"/>
      <c r="C73" s="138"/>
    </row>
    <row r="74" spans="1:3">
      <c r="A74" s="138"/>
      <c r="B74" s="138"/>
      <c r="C74" s="138"/>
    </row>
    <row r="75" spans="1:3">
      <c r="A75" s="138"/>
      <c r="B75" s="138"/>
      <c r="C75" s="138"/>
    </row>
    <row r="76" spans="1:3">
      <c r="A76" s="138"/>
      <c r="B76" s="138"/>
      <c r="C76" s="138"/>
    </row>
    <row r="77" spans="1:3">
      <c r="A77" s="138"/>
      <c r="B77" s="138"/>
      <c r="C77" s="138"/>
    </row>
    <row r="78" spans="1:3">
      <c r="A78" s="138"/>
      <c r="B78" s="138"/>
      <c r="C78" s="138"/>
    </row>
    <row r="79" spans="1:3">
      <c r="A79" s="138"/>
      <c r="B79" s="138"/>
      <c r="C79" s="138"/>
    </row>
    <row r="80" spans="1:3">
      <c r="A80" s="138"/>
      <c r="B80" s="138"/>
      <c r="C80" s="138"/>
    </row>
    <row r="81" spans="1:3">
      <c r="A81" s="138"/>
      <c r="B81" s="138"/>
      <c r="C81" s="138"/>
    </row>
    <row r="82" spans="1:3">
      <c r="A82" s="138"/>
      <c r="B82" s="138"/>
      <c r="C82" s="138"/>
    </row>
    <row r="83" spans="1:3">
      <c r="A83" s="138"/>
      <c r="B83" s="138"/>
      <c r="C83" s="138"/>
    </row>
    <row r="84" spans="1:3">
      <c r="A84" s="138"/>
      <c r="B84" s="138"/>
      <c r="C84" s="138"/>
    </row>
    <row r="85" spans="1:3">
      <c r="A85" s="138"/>
      <c r="B85" s="138"/>
      <c r="C85" s="138"/>
    </row>
    <row r="86" spans="1:3">
      <c r="A86" s="138"/>
      <c r="B86" s="138"/>
      <c r="C86" s="138"/>
    </row>
    <row r="87" spans="1:3">
      <c r="A87" s="138"/>
      <c r="B87" s="138"/>
      <c r="C87" s="138"/>
    </row>
    <row r="88" spans="1:3">
      <c r="A88" s="138"/>
      <c r="B88" s="138"/>
      <c r="C88" s="138"/>
    </row>
    <row r="89" spans="1:3">
      <c r="A89" s="138"/>
      <c r="B89" s="138"/>
      <c r="C89" s="138"/>
    </row>
    <row r="90" spans="1:3">
      <c r="A90" s="138"/>
      <c r="B90" s="138"/>
      <c r="C90" s="138"/>
    </row>
    <row r="91" spans="1:3">
      <c r="A91" s="138"/>
      <c r="B91" s="138"/>
      <c r="C91" s="138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purl.org/dc/dcmitype/"/>
    <ds:schemaRef ds:uri="http://schemas.microsoft.com/office/2006/documentManagement/types"/>
    <ds:schemaRef ds:uri="c49de858-f9fd-4eb6-bcba-50396646711f"/>
    <ds:schemaRef ds:uri="http://purl.org/dc/terms/"/>
    <ds:schemaRef ds:uri="7818c5c2-d41f-4dce-801c-4e3595afcb3f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2023-04-13T12:33:00Z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