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K:\ERS Projects- Active\Monthly Outlook Reports\Oil Crops Outlook\"/>
    </mc:Choice>
  </mc:AlternateContent>
  <xr:revisionPtr revIDLastSave="0" documentId="13_ncr:1_{15D23F83-5150-43B4-B5EC-3D6A03D0D2A5}" xr6:coauthVersionLast="47" xr6:coauthVersionMax="47" xr10:uidLastSave="{00000000-0000-0000-0000-000000000000}"/>
  <bookViews>
    <workbookView xWindow="-108" yWindow="-108" windowWidth="23256" windowHeight="12576" tabRatio="873" xr2:uid="{00000000-000D-0000-FFFF-FFFF00000000}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Figure 1" sheetId="96" r:id="rId9"/>
    <sheet name="Figure 2" sheetId="103" r:id="rId10"/>
    <sheet name="Figure 3" sheetId="101" r:id="rId11"/>
    <sheet name="Figure 4" sheetId="100" r:id="rId12"/>
  </sheets>
  <definedNames>
    <definedName name="_xlnm.Print_Area" localSheetId="1">'Table 1'!$A$1:$N$32</definedName>
    <definedName name="_xlnm.Print_Area" localSheetId="7">'Table 10'!$A$1:$G$37</definedName>
    <definedName name="_xlnm.Print_Area" localSheetId="2">'Table 2'!$A$1:$J$40</definedName>
    <definedName name="_xlnm.Print_Area" localSheetId="3">'Table 3'!$A$1:$L$53</definedName>
    <definedName name="_xlnm.Print_Area" localSheetId="5">'Table 8'!$A$1:$G$36</definedName>
    <definedName name="_xlnm.Print_Area" localSheetId="6">'Table 9'!$A$1:$I$38</definedName>
    <definedName name="_xlnm.Print_Area" localSheetId="4">'Tables 4-7'!$A$1:$O$52</definedName>
    <definedName name="WASDE_Updated" localSheetId="0">Contents!#REF!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00" l="1"/>
  <c r="C16" i="100"/>
  <c r="C2" i="103"/>
  <c r="C3" i="103"/>
  <c r="C4" i="103"/>
  <c r="C5" i="103"/>
  <c r="C6" i="103"/>
  <c r="C7" i="103"/>
  <c r="C8" i="103"/>
  <c r="C9" i="103"/>
  <c r="C10" i="103"/>
  <c r="C11" i="103"/>
  <c r="C12" i="103"/>
  <c r="C13" i="103"/>
  <c r="C14" i="103"/>
  <c r="C15" i="103"/>
  <c r="C16" i="103"/>
  <c r="C17" i="103"/>
  <c r="C18" i="103"/>
  <c r="C19" i="103"/>
  <c r="C20" i="103"/>
  <c r="C21" i="103"/>
  <c r="C22" i="103"/>
  <c r="C23" i="103"/>
  <c r="C24" i="103"/>
  <c r="C25" i="103"/>
  <c r="C26" i="103"/>
  <c r="H8" i="1"/>
  <c r="F8" i="1"/>
  <c r="J38" i="9"/>
  <c r="J23" i="9"/>
  <c r="H38" i="2"/>
  <c r="H23" i="2"/>
  <c r="D38" i="9"/>
  <c r="D23" i="9"/>
  <c r="D38" i="2"/>
  <c r="D23" i="2"/>
  <c r="L27" i="1"/>
  <c r="G27" i="1"/>
  <c r="H37" i="2"/>
  <c r="G30" i="1"/>
  <c r="L30" i="1"/>
  <c r="J37" i="9" l="1"/>
  <c r="D37" i="9"/>
  <c r="D37" i="2"/>
  <c r="C12" i="101" l="1"/>
  <c r="C11" i="101"/>
  <c r="C10" i="101"/>
  <c r="C9" i="101"/>
  <c r="C8" i="101"/>
  <c r="C7" i="101"/>
  <c r="C6" i="101"/>
  <c r="C5" i="101"/>
  <c r="C4" i="101"/>
  <c r="C3" i="101"/>
  <c r="C2" i="101"/>
  <c r="E32" i="4" l="1"/>
  <c r="J25" i="1"/>
  <c r="J30" i="1"/>
  <c r="J6" i="3" l="1"/>
  <c r="I6" i="3" s="1"/>
  <c r="J7" i="3"/>
  <c r="I7" i="3" s="1"/>
  <c r="N46" i="3"/>
  <c r="N44" i="3"/>
  <c r="N45" i="3"/>
  <c r="L45" i="3"/>
  <c r="L46" i="3"/>
  <c r="L44" i="3"/>
  <c r="L7" i="9"/>
  <c r="J7" i="9"/>
  <c r="H38" i="9"/>
  <c r="D7" i="9"/>
  <c r="C38" i="9"/>
  <c r="E38" i="9" s="1"/>
  <c r="E7" i="9" s="1"/>
  <c r="B37" i="9"/>
  <c r="E37" i="9" s="1"/>
  <c r="K37" i="9" s="1"/>
  <c r="J7" i="2"/>
  <c r="B37" i="2"/>
  <c r="E37" i="2" s="1"/>
  <c r="I37" i="2" s="1"/>
  <c r="G37" i="2" s="1"/>
  <c r="C38" i="2"/>
  <c r="C7" i="2" s="1"/>
  <c r="E30" i="1"/>
  <c r="E14" i="1"/>
  <c r="C7" i="9" l="1"/>
  <c r="G37" i="9"/>
  <c r="B39" i="6" l="1"/>
  <c r="B39" i="5"/>
  <c r="B38" i="4"/>
  <c r="B50" i="3"/>
  <c r="B41" i="9"/>
  <c r="B41" i="2"/>
  <c r="B33" i="1"/>
  <c r="D36" i="9" l="1"/>
  <c r="D36" i="2"/>
  <c r="G25" i="1" l="1"/>
  <c r="J36" i="9" l="1"/>
  <c r="H36" i="2"/>
  <c r="L25" i="1" l="1"/>
  <c r="F14" i="1" l="1"/>
  <c r="G32" i="4" l="1"/>
  <c r="F32" i="4"/>
  <c r="D32" i="4"/>
  <c r="C32" i="4"/>
  <c r="B32" i="4"/>
  <c r="E26" i="1"/>
  <c r="F27" i="1"/>
  <c r="F7" i="1" s="1"/>
  <c r="N26" i="1"/>
  <c r="N7" i="1" s="1"/>
  <c r="B36" i="2"/>
  <c r="E36" i="2" s="1"/>
  <c r="I36" i="2" s="1"/>
  <c r="G36" i="2" s="1"/>
  <c r="B36" i="9"/>
  <c r="E36" i="9" s="1"/>
  <c r="K36" i="9" s="1"/>
  <c r="G36" i="9" l="1"/>
  <c r="K38" i="9"/>
  <c r="J35" i="9"/>
  <c r="H35" i="2"/>
  <c r="I36" i="9" l="1"/>
  <c r="I38" i="9" s="1"/>
  <c r="G38" i="9"/>
  <c r="D35" i="9"/>
  <c r="D35" i="2"/>
  <c r="G24" i="1" l="1"/>
  <c r="L24" i="1" l="1"/>
  <c r="J24" i="1" l="1"/>
  <c r="B35" i="9"/>
  <c r="E35" i="9" s="1"/>
  <c r="K35" i="9" s="1"/>
  <c r="G35" i="9" s="1"/>
  <c r="I35" i="9" s="1"/>
  <c r="B35" i="2"/>
  <c r="E35" i="2" s="1"/>
  <c r="I35" i="2" s="1"/>
  <c r="G35" i="2" s="1"/>
  <c r="D46" i="3" l="1"/>
  <c r="H34" i="2" l="1"/>
  <c r="H33" i="2"/>
  <c r="H32" i="2"/>
  <c r="H31" i="2"/>
  <c r="H30" i="2"/>
  <c r="H29" i="2"/>
  <c r="H28" i="2"/>
  <c r="H27" i="2"/>
  <c r="H26" i="2"/>
  <c r="H7" i="2" s="1"/>
  <c r="H22" i="2"/>
  <c r="H21" i="2"/>
  <c r="H20" i="2"/>
  <c r="H19" i="2"/>
  <c r="H18" i="2"/>
  <c r="H17" i="2"/>
  <c r="H16" i="2"/>
  <c r="H15" i="2"/>
  <c r="H14" i="2"/>
  <c r="H13" i="2"/>
  <c r="H12" i="2"/>
  <c r="H11" i="2"/>
  <c r="D34" i="2"/>
  <c r="D33" i="2"/>
  <c r="D32" i="2"/>
  <c r="D31" i="2"/>
  <c r="D30" i="2"/>
  <c r="D29" i="2"/>
  <c r="D28" i="2"/>
  <c r="D27" i="2"/>
  <c r="D26" i="2"/>
  <c r="D22" i="2"/>
  <c r="D21" i="2"/>
  <c r="D19" i="2"/>
  <c r="D18" i="2"/>
  <c r="D17" i="2"/>
  <c r="D16" i="2"/>
  <c r="D15" i="2"/>
  <c r="D14" i="2"/>
  <c r="D13" i="2"/>
  <c r="D12" i="2"/>
  <c r="D11" i="2"/>
  <c r="D7" i="2" l="1"/>
  <c r="D34" i="9"/>
  <c r="D33" i="9"/>
  <c r="D32" i="9"/>
  <c r="D31" i="9"/>
  <c r="D30" i="9"/>
  <c r="D29" i="9"/>
  <c r="D28" i="9"/>
  <c r="D27" i="9"/>
  <c r="D26" i="9"/>
  <c r="D22" i="9"/>
  <c r="D21" i="9"/>
  <c r="D20" i="9"/>
  <c r="D19" i="9"/>
  <c r="D18" i="9"/>
  <c r="D17" i="9"/>
  <c r="D16" i="9"/>
  <c r="D15" i="9"/>
  <c r="D14" i="9"/>
  <c r="D13" i="9"/>
  <c r="D12" i="9"/>
  <c r="D11" i="9"/>
  <c r="J34" i="9" l="1"/>
  <c r="J33" i="9"/>
  <c r="J32" i="9"/>
  <c r="J31" i="9"/>
  <c r="J30" i="9"/>
  <c r="J29" i="9"/>
  <c r="J28" i="9"/>
  <c r="J27" i="9"/>
  <c r="J26" i="9"/>
  <c r="J22" i="9"/>
  <c r="J21" i="9"/>
  <c r="J20" i="9"/>
  <c r="J19" i="9"/>
  <c r="J18" i="9"/>
  <c r="J17" i="9"/>
  <c r="J16" i="9"/>
  <c r="J15" i="9"/>
  <c r="J14" i="9"/>
  <c r="J13" i="9"/>
  <c r="J12" i="9"/>
  <c r="J11" i="9"/>
  <c r="G23" i="1" l="1"/>
  <c r="G26" i="1" s="1"/>
  <c r="H26" i="1" s="1"/>
  <c r="M26" i="1" s="1"/>
  <c r="G21" i="1"/>
  <c r="G20" i="1"/>
  <c r="G19" i="1"/>
  <c r="G17" i="1"/>
  <c r="G16" i="1"/>
  <c r="G15" i="1"/>
  <c r="G13" i="1"/>
  <c r="G12" i="1"/>
  <c r="G11" i="1"/>
  <c r="L23" i="1"/>
  <c r="L26" i="1" s="1"/>
  <c r="L21" i="1"/>
  <c r="L20" i="1"/>
  <c r="L19" i="1"/>
  <c r="L17" i="1"/>
  <c r="L16" i="1"/>
  <c r="L15" i="1"/>
  <c r="L13" i="1"/>
  <c r="L12" i="1"/>
  <c r="L11" i="1"/>
  <c r="J23" i="1" l="1"/>
  <c r="J26" i="1" s="1"/>
  <c r="K26" i="1" s="1"/>
  <c r="J21" i="1"/>
  <c r="J20" i="1"/>
  <c r="B34" i="9"/>
  <c r="E34" i="9" s="1"/>
  <c r="K34" i="9" s="1"/>
  <c r="G34" i="9" s="1"/>
  <c r="I34" i="9" s="1"/>
  <c r="B34" i="2"/>
  <c r="E34" i="2" s="1"/>
  <c r="I34" i="2" s="1"/>
  <c r="G34" i="2" s="1"/>
  <c r="E22" i="1" l="1"/>
  <c r="B33" i="2"/>
  <c r="E33" i="2" s="1"/>
  <c r="I33" i="2" s="1"/>
  <c r="G33" i="2" s="1"/>
  <c r="B33" i="9"/>
  <c r="E33" i="9" s="1"/>
  <c r="K33" i="9" s="1"/>
  <c r="G33" i="9" s="1"/>
  <c r="I33" i="9" s="1"/>
  <c r="B32" i="9" l="1"/>
  <c r="E32" i="9" s="1"/>
  <c r="K32" i="9" s="1"/>
  <c r="G32" i="9" s="1"/>
  <c r="I32" i="9" s="1"/>
  <c r="B32" i="2"/>
  <c r="E32" i="2" s="1"/>
  <c r="I32" i="2" s="1"/>
  <c r="G32" i="2" s="1"/>
  <c r="E46" i="3" l="1"/>
  <c r="H46" i="3" s="1"/>
  <c r="B33" i="3"/>
  <c r="E33" i="3" s="1"/>
  <c r="I33" i="3" s="1"/>
  <c r="G33" i="3" s="1"/>
  <c r="B21" i="3"/>
  <c r="E21" i="3" s="1"/>
  <c r="G21" i="3" s="1"/>
  <c r="I21" i="3" s="1"/>
  <c r="B8" i="3"/>
  <c r="E8" i="3" s="1"/>
  <c r="J8" i="3" s="1"/>
  <c r="I8" i="3" s="1"/>
  <c r="B8" i="9"/>
  <c r="E8" i="9" s="1"/>
  <c r="K8" i="9" s="1"/>
  <c r="G8" i="9" s="1"/>
  <c r="I8" i="9" s="1"/>
  <c r="B8" i="2"/>
  <c r="E8" i="2" s="1"/>
  <c r="I8" i="2" s="1"/>
  <c r="E8" i="1"/>
  <c r="M8" i="1" s="1"/>
  <c r="K8" i="1" s="1"/>
  <c r="D8" i="1"/>
  <c r="B31" i="9"/>
  <c r="B31" i="2"/>
  <c r="E31" i="2" s="1"/>
  <c r="I31" i="2" s="1"/>
  <c r="L22" i="1"/>
  <c r="J19" i="1"/>
  <c r="J22" i="1" s="1"/>
  <c r="G22" i="1"/>
  <c r="H22" i="1" l="1"/>
  <c r="M22" i="1" s="1"/>
  <c r="K22" i="1" s="1"/>
  <c r="E31" i="9"/>
  <c r="K31" i="9" s="1"/>
  <c r="G31" i="9" s="1"/>
  <c r="I31" i="9" s="1"/>
  <c r="G31" i="2"/>
  <c r="J17" i="1"/>
  <c r="B30" i="9"/>
  <c r="B30" i="2"/>
  <c r="E18" i="1"/>
  <c r="E30" i="9" l="1"/>
  <c r="K30" i="9" s="1"/>
  <c r="G30" i="9" s="1"/>
  <c r="I30" i="9" s="1"/>
  <c r="E30" i="2"/>
  <c r="I30" i="2" s="1"/>
  <c r="G30" i="2" s="1"/>
  <c r="J16" i="1" l="1"/>
  <c r="B29" i="9"/>
  <c r="E29" i="9" s="1"/>
  <c r="K29" i="9" s="1"/>
  <c r="G29" i="9" s="1"/>
  <c r="I29" i="9" s="1"/>
  <c r="B29" i="2"/>
  <c r="E29" i="2" s="1"/>
  <c r="I29" i="2" s="1"/>
  <c r="G29" i="2" s="1"/>
  <c r="L18" i="1"/>
  <c r="G18" i="1"/>
  <c r="H18" i="1" s="1"/>
  <c r="M18" i="1" s="1"/>
  <c r="J15" i="1"/>
  <c r="J13" i="1"/>
  <c r="J18" i="1" l="1"/>
  <c r="K18" i="1" s="1"/>
  <c r="B28" i="9"/>
  <c r="E28" i="9" s="1"/>
  <c r="K28" i="9" s="1"/>
  <c r="G28" i="9" s="1"/>
  <c r="I28" i="9" s="1"/>
  <c r="B28" i="2"/>
  <c r="E28" i="2" s="1"/>
  <c r="I28" i="2" s="1"/>
  <c r="G28" i="2" s="1"/>
  <c r="B27" i="9" l="1"/>
  <c r="B27" i="2"/>
  <c r="E27" i="9" l="1"/>
  <c r="K27" i="9" s="1"/>
  <c r="G27" i="9" s="1"/>
  <c r="I27" i="9" s="1"/>
  <c r="E27" i="2"/>
  <c r="I27" i="2" s="1"/>
  <c r="G27" i="2" s="1"/>
  <c r="J12" i="1" l="1"/>
  <c r="B26" i="9" l="1"/>
  <c r="E26" i="9" s="1"/>
  <c r="K26" i="9" s="1"/>
  <c r="G26" i="9" s="1"/>
  <c r="I26" i="9" s="1"/>
  <c r="B26" i="2"/>
  <c r="E26" i="2" l="1"/>
  <c r="I26" i="2" s="1"/>
  <c r="E38" i="2"/>
  <c r="E7" i="2" s="1"/>
  <c r="B20" i="3"/>
  <c r="G26" i="2" l="1"/>
  <c r="G38" i="2" s="1"/>
  <c r="G7" i="2" s="1"/>
  <c r="I38" i="2"/>
  <c r="I7" i="2" s="1"/>
  <c r="L14" i="1"/>
  <c r="L7" i="1" s="1"/>
  <c r="G14" i="1"/>
  <c r="H27" i="1" l="1"/>
  <c r="G7" i="1"/>
  <c r="H14" i="1"/>
  <c r="M14" i="1" s="1"/>
  <c r="M27" i="1" s="1"/>
  <c r="J11" i="1"/>
  <c r="J14" i="1" s="1"/>
  <c r="J27" i="1" s="1"/>
  <c r="J7" i="1" s="1"/>
  <c r="K14" i="1" l="1"/>
  <c r="K27" i="1" s="1"/>
  <c r="L6" i="9"/>
  <c r="H23" i="9"/>
  <c r="H6" i="9" s="1"/>
  <c r="C23" i="9"/>
  <c r="C6" i="9" s="1"/>
  <c r="B22" i="9"/>
  <c r="E22" i="9" s="1"/>
  <c r="K22" i="9" s="1"/>
  <c r="G22" i="9" s="1"/>
  <c r="I22" i="9" s="1"/>
  <c r="J6" i="2"/>
  <c r="C23" i="2"/>
  <c r="C6" i="2" s="1"/>
  <c r="B22" i="2"/>
  <c r="E22" i="2" s="1"/>
  <c r="I22" i="2" s="1"/>
  <c r="G22" i="2" s="1"/>
  <c r="B21" i="9" l="1"/>
  <c r="E21" i="9" s="1"/>
  <c r="K21" i="9" s="1"/>
  <c r="G21" i="9" s="1"/>
  <c r="I21" i="9" s="1"/>
  <c r="B21" i="2"/>
  <c r="E21" i="2" s="1"/>
  <c r="I21" i="2" s="1"/>
  <c r="G21" i="2" s="1"/>
  <c r="B20" i="9" l="1"/>
  <c r="E20" i="9" s="1"/>
  <c r="K20" i="9" s="1"/>
  <c r="D20" i="2"/>
  <c r="B20" i="2"/>
  <c r="E20" i="2" s="1"/>
  <c r="I20" i="2" s="1"/>
  <c r="G20" i="9" l="1"/>
  <c r="G20" i="2"/>
  <c r="I20" i="9" l="1"/>
  <c r="D45" i="3"/>
  <c r="B7" i="9"/>
  <c r="D7" i="1"/>
  <c r="B19" i="9"/>
  <c r="B19" i="2"/>
  <c r="E19" i="2" l="1"/>
  <c r="I19" i="2" s="1"/>
  <c r="G19" i="2" s="1"/>
  <c r="E19" i="9"/>
  <c r="K19" i="9" s="1"/>
  <c r="G19" i="9" s="1"/>
  <c r="D6" i="9"/>
  <c r="J6" i="9" l="1"/>
  <c r="I19" i="9"/>
  <c r="H6" i="2" l="1"/>
  <c r="D6" i="2"/>
  <c r="B18" i="9" l="1"/>
  <c r="B18" i="2"/>
  <c r="E18" i="2" s="1"/>
  <c r="E18" i="9" l="1"/>
  <c r="K18" i="9" s="1"/>
  <c r="G18" i="9" s="1"/>
  <c r="I18" i="2"/>
  <c r="G18" i="2" s="1"/>
  <c r="I18" i="9" l="1"/>
  <c r="I19" i="3"/>
  <c r="B7" i="2" l="1"/>
  <c r="B17" i="9" l="1"/>
  <c r="E17" i="9" s="1"/>
  <c r="B17" i="2"/>
  <c r="E17" i="2" s="1"/>
  <c r="K17" i="9" l="1"/>
  <c r="G17" i="9" s="1"/>
  <c r="I17" i="9" s="1"/>
  <c r="I17" i="2"/>
  <c r="G17" i="2" l="1"/>
  <c r="B16" i="9" l="1"/>
  <c r="E16" i="9" s="1"/>
  <c r="K16" i="9" s="1"/>
  <c r="G16" i="9" s="1"/>
  <c r="I16" i="9" s="1"/>
  <c r="B16" i="2"/>
  <c r="E16" i="2" s="1"/>
  <c r="K7" i="9"/>
  <c r="G7" i="9" s="1"/>
  <c r="I7" i="9" s="1"/>
  <c r="I16" i="2" l="1"/>
  <c r="G16" i="2" s="1"/>
  <c r="B7" i="3"/>
  <c r="E7" i="3" s="1"/>
  <c r="E20" i="3"/>
  <c r="G20" i="3" s="1"/>
  <c r="I20" i="3" s="1"/>
  <c r="B32" i="3"/>
  <c r="E45" i="3"/>
  <c r="H45" i="3" s="1"/>
  <c r="D44" i="3"/>
  <c r="E32" i="3" l="1"/>
  <c r="I32" i="3" s="1"/>
  <c r="G32" i="3" s="1"/>
  <c r="B15" i="2"/>
  <c r="E15" i="2" l="1"/>
  <c r="I15" i="2" l="1"/>
  <c r="G15" i="2" s="1"/>
  <c r="E19" i="3"/>
  <c r="B15" i="9"/>
  <c r="E15" i="9" s="1"/>
  <c r="K15" i="9" s="1"/>
  <c r="G15" i="9" s="1"/>
  <c r="I15" i="9" s="1"/>
  <c r="B14" i="2" l="1"/>
  <c r="E14" i="2" s="1"/>
  <c r="B14" i="9"/>
  <c r="E14" i="9" s="1"/>
  <c r="K14" i="9" s="1"/>
  <c r="G14" i="9" s="1"/>
  <c r="I14" i="9" s="1"/>
  <c r="I14" i="2" l="1"/>
  <c r="G14" i="2" l="1"/>
  <c r="B13" i="9" l="1"/>
  <c r="E13" i="9" s="1"/>
  <c r="K13" i="9" s="1"/>
  <c r="G13" i="9" s="1"/>
  <c r="I13" i="9" s="1"/>
  <c r="B13" i="2" l="1"/>
  <c r="E13" i="2" s="1"/>
  <c r="I13" i="2" l="1"/>
  <c r="G13" i="2" s="1"/>
  <c r="B12" i="9" l="1"/>
  <c r="E12" i="9" s="1"/>
  <c r="K12" i="9" s="1"/>
  <c r="G12" i="9" s="1"/>
  <c r="I12" i="9" s="1"/>
  <c r="B12" i="2"/>
  <c r="E12" i="2" s="1"/>
  <c r="I12" i="2" l="1"/>
  <c r="G12" i="2" s="1"/>
  <c r="E23" i="2"/>
  <c r="E6" i="2" s="1"/>
  <c r="E23" i="9" l="1"/>
  <c r="E6" i="9" s="1"/>
  <c r="K6" i="9" s="1"/>
  <c r="H44" i="3" l="1"/>
  <c r="E31" i="3"/>
  <c r="E6" i="3"/>
  <c r="I31" i="3" l="1"/>
  <c r="G31" i="3" s="1"/>
  <c r="D6" i="1" l="1"/>
  <c r="E11" i="9" l="1"/>
  <c r="E11" i="2"/>
  <c r="K11" i="9" l="1"/>
  <c r="I11" i="2"/>
  <c r="I23" i="2" s="1"/>
  <c r="I6" i="2" s="1"/>
  <c r="G11" i="2"/>
  <c r="G23" i="2" s="1"/>
  <c r="G6" i="2" s="1"/>
  <c r="K23" i="9" l="1"/>
  <c r="G11" i="9"/>
  <c r="I11" i="9" l="1"/>
  <c r="I23" i="9" s="1"/>
  <c r="I6" i="9" s="1"/>
  <c r="G23" i="9"/>
  <c r="G6" i="9" s="1"/>
  <c r="H6" i="1" l="1"/>
  <c r="M6" i="1" s="1"/>
  <c r="K6" i="1" s="1"/>
  <c r="E7" i="1" l="1"/>
  <c r="H7" i="1" s="1"/>
  <c r="M7" i="1" s="1"/>
  <c r="K7" i="1" s="1"/>
</calcChain>
</file>

<file path=xl/sharedStrings.xml><?xml version="1.0" encoding="utf-8"?>
<sst xmlns="http://schemas.openxmlformats.org/spreadsheetml/2006/main" count="520" uniqueCount="193">
  <si>
    <t>Oil Crops Outlook Tables</t>
  </si>
  <si>
    <t>Table 1—Soybeans: U.S. supply and disappearance</t>
  </si>
  <si>
    <t>Table 2—Soybean meal: U.S. supply and disappearance</t>
  </si>
  <si>
    <t>Table 3—Soybean oil: U.S. supply and disappearance</t>
  </si>
  <si>
    <t>Table 4—Cottonseed: U.S. supply and disappearance</t>
  </si>
  <si>
    <t>Table 5—Cottonseed meal: U.S. supply and disappearance</t>
  </si>
  <si>
    <t>Table 6—Cottonseed oil: U.S. supply and disappearance</t>
  </si>
  <si>
    <t>Table 7—Peanuts: U.S. supply and disappearance</t>
  </si>
  <si>
    <t>Table 8—Oilseed prices received by U.S. farmers</t>
  </si>
  <si>
    <t>Table 9—U.S. vegetable oil and fats prices</t>
  </si>
  <si>
    <t xml:space="preserve">Table 10—U.S. oilseed meal prices </t>
  </si>
  <si>
    <t>Contact: Aaron M. Ates; Maria Bukowski</t>
  </si>
  <si>
    <t>Last update</t>
  </si>
  <si>
    <t>Area</t>
  </si>
  <si>
    <t>Yield</t>
  </si>
  <si>
    <t>Supply</t>
  </si>
  <si>
    <t>Use</t>
  </si>
  <si>
    <t>Year beginning</t>
  </si>
  <si>
    <t>Planted</t>
  </si>
  <si>
    <t>Harvested</t>
  </si>
  <si>
    <t>Beginning</t>
  </si>
  <si>
    <t>Crush</t>
  </si>
  <si>
    <t>Seed &amp;</t>
  </si>
  <si>
    <t>Ending</t>
  </si>
  <si>
    <t>September 1</t>
  </si>
  <si>
    <t>stocks</t>
  </si>
  <si>
    <t>Production</t>
  </si>
  <si>
    <t>Imports</t>
  </si>
  <si>
    <t>Total</t>
  </si>
  <si>
    <t>residual</t>
  </si>
  <si>
    <t>Exports</t>
  </si>
  <si>
    <t>Million acres</t>
  </si>
  <si>
    <t>Bushels per acre</t>
  </si>
  <si>
    <t>---------------------------------------------Million bushels----------------------------------------------------------</t>
  </si>
  <si>
    <t>2020/21</t>
  </si>
  <si>
    <r>
      <t>2021/22</t>
    </r>
    <r>
      <rPr>
        <vertAlign val="superscript"/>
        <sz val="11"/>
        <rFont val="Arial"/>
        <family val="2"/>
      </rPr>
      <t>1</t>
    </r>
  </si>
  <si>
    <r>
      <t>2022/23</t>
    </r>
    <r>
      <rPr>
        <vertAlign val="superscript"/>
        <sz val="11"/>
        <rFont val="Arial"/>
        <family val="2"/>
      </rPr>
      <t>2</t>
    </r>
  </si>
  <si>
    <t>September</t>
  </si>
  <si>
    <t>October</t>
  </si>
  <si>
    <t>November</t>
  </si>
  <si>
    <t xml:space="preserve">  September–November</t>
  </si>
  <si>
    <t>December</t>
  </si>
  <si>
    <t>January</t>
  </si>
  <si>
    <t>February</t>
  </si>
  <si>
    <t xml:space="preserve">  December–February</t>
  </si>
  <si>
    <t>March</t>
  </si>
  <si>
    <t>April</t>
  </si>
  <si>
    <t>May</t>
  </si>
  <si>
    <t xml:space="preserve">  March–May</t>
  </si>
  <si>
    <t>June</t>
  </si>
  <si>
    <t>July</t>
  </si>
  <si>
    <t>August</t>
  </si>
  <si>
    <t xml:space="preserve">  June–August</t>
  </si>
  <si>
    <t>2021/22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</si>
  <si>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Note: 1 metric ton equals 36.744 bushels and 1 hectare equals 2.471 acres.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</si>
  <si>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Sources: USDA, Economic Research Service using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>, and</t>
    </r>
    <r>
      <rPr>
        <i/>
        <sz val="11"/>
        <rFont val="Arial"/>
        <family val="2"/>
      </rPr>
      <t xml:space="preserve"> Grain Stocks</t>
    </r>
    <r>
      <rPr>
        <sz val="11"/>
        <rFont val="Arial"/>
        <family val="2"/>
      </rPr>
      <t xml:space="preserve">; and U.S. Department of Commerce, Bureau of the Census, </t>
    </r>
    <r>
      <rPr>
        <i/>
        <sz val="11"/>
        <rFont val="Arial"/>
        <family val="2"/>
      </rPr>
      <t>Foreign Trade Statistics</t>
    </r>
    <r>
      <rPr>
        <sz val="11"/>
        <rFont val="Arial"/>
        <family val="2"/>
      </rPr>
      <t>.</t>
    </r>
  </si>
  <si>
    <t>Last update:</t>
  </si>
  <si>
    <t xml:space="preserve">          Supply</t>
  </si>
  <si>
    <t>Disappearance</t>
  </si>
  <si>
    <t xml:space="preserve">Ending </t>
  </si>
  <si>
    <t>October 1</t>
  </si>
  <si>
    <t xml:space="preserve">stocks </t>
  </si>
  <si>
    <t xml:space="preserve">Total  </t>
  </si>
  <si>
    <t xml:space="preserve">Domestic </t>
  </si>
  <si>
    <t xml:space="preserve">Exports  </t>
  </si>
  <si>
    <t xml:space="preserve"> stocks </t>
  </si>
  <si>
    <t xml:space="preserve">     -------------------------------------------- 1,000 short tons--------------------------------------------</t>
  </si>
  <si>
    <r>
      <rPr>
        <sz val="11"/>
        <rFont val="Arial"/>
        <family val="2"/>
      </rPr>
      <t>Note: 1 metric ton equals 1.10231 short tons.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</si>
  <si>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Source: USDA, Economic Research Service using USDA, World Agricultural Outlook Board, </t>
    </r>
    <r>
      <rPr>
        <i/>
        <sz val="11"/>
        <rFont val="Arial"/>
        <family val="2"/>
      </rPr>
      <t>World Agricultural Supply and Demand Estimates.</t>
    </r>
  </si>
  <si>
    <t xml:space="preserve">Beginning </t>
  </si>
  <si>
    <t xml:space="preserve">Imports </t>
  </si>
  <si>
    <t xml:space="preserve">Exports </t>
  </si>
  <si>
    <r>
      <t>Biofuel</t>
    </r>
    <r>
      <rPr>
        <vertAlign val="superscript"/>
        <sz val="11"/>
        <rFont val="Arial"/>
        <family val="2"/>
      </rPr>
      <t>3</t>
    </r>
  </si>
  <si>
    <t>Food &amp; other</t>
  </si>
  <si>
    <t>Million pounds</t>
  </si>
  <si>
    <t>NA</t>
  </si>
  <si>
    <r>
      <rPr>
        <sz val="11"/>
        <rFont val="Arial"/>
        <family val="2"/>
      </rPr>
      <t>NA = Not available. Note: 1 metric ton equals 2,204.622 pounds.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Prior year’s monthly biofuel data are estimated on yearly data.</t>
    </r>
  </si>
  <si>
    <t>August 1</t>
  </si>
  <si>
    <t xml:space="preserve">stocks  </t>
  </si>
  <si>
    <t xml:space="preserve">  Total  </t>
  </si>
  <si>
    <t xml:space="preserve">Crush </t>
  </si>
  <si>
    <t xml:space="preserve">Other </t>
  </si>
  <si>
    <t xml:space="preserve">Total </t>
  </si>
  <si>
    <t xml:space="preserve">     1,000 short tons</t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</si>
  <si>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</si>
  <si>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Economic Research Service using USDA, National Agricultural Statistics Service,</t>
    </r>
    <r>
      <rPr>
        <i/>
        <sz val="11"/>
        <rFont val="Arial"/>
        <family val="2"/>
      </rPr>
      <t xml:space="preserve"> Crop Production; </t>
    </r>
    <r>
      <rPr>
        <sz val="11"/>
        <rFont val="Arial"/>
        <family val="2"/>
      </rPr>
      <t>and U.S. Department of Commerce,</t>
    </r>
  </si>
  <si>
    <r>
      <t xml:space="preserve">Bureau of the Census, </t>
    </r>
    <r>
      <rPr>
        <i/>
        <sz val="11"/>
        <rFont val="Arial"/>
        <family val="2"/>
      </rPr>
      <t>Foreign Trade Statistics.</t>
    </r>
  </si>
  <si>
    <t>Domestic</t>
  </si>
  <si>
    <t xml:space="preserve">  1,000 short tons</t>
  </si>
  <si>
    <r>
      <t xml:space="preserve">Source: USDA, Economic Research Service using USDA, Foreign Agricultural Service, </t>
    </r>
    <r>
      <rPr>
        <i/>
        <sz val="11"/>
        <rFont val="Arial"/>
        <family val="2"/>
      </rPr>
      <t xml:space="preserve">Production, Supply, and Distribution </t>
    </r>
    <r>
      <rPr>
        <sz val="11"/>
        <rFont val="Arial"/>
        <family val="2"/>
      </rPr>
      <t>database</t>
    </r>
    <r>
      <rPr>
        <i/>
        <sz val="11"/>
        <rFont val="Arial"/>
        <family val="2"/>
      </rPr>
      <t>.</t>
    </r>
  </si>
  <si>
    <t>Million Pounds</t>
  </si>
  <si>
    <t xml:space="preserve">food </t>
  </si>
  <si>
    <t>1,000 acres</t>
  </si>
  <si>
    <t>Pounds/acre</t>
  </si>
  <si>
    <t xml:space="preserve">      Million pounds</t>
  </si>
  <si>
    <r>
      <t xml:space="preserve">Sources: USDA, Economic Research Service using USDA, National Agricultural Statistics Service, </t>
    </r>
    <r>
      <rPr>
        <i/>
        <sz val="11"/>
        <rFont val="Arial"/>
        <family val="2"/>
      </rPr>
      <t>Crop Production,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Peanut Stocks and Processing; </t>
    </r>
    <r>
      <rPr>
        <sz val="11"/>
        <rFont val="Arial"/>
        <family val="2"/>
      </rPr>
      <t>and U.S. Department of Commerce,</t>
    </r>
  </si>
  <si>
    <t>Marketing</t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</si>
  <si>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</si>
  <si>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</si>
  <si>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</si>
  <si>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</si>
  <si>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</si>
  <si>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</si>
  <si>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t>year</t>
  </si>
  <si>
    <t xml:space="preserve">Dollars per bushel </t>
  </si>
  <si>
    <t xml:space="preserve">Dollars per short ton  </t>
  </si>
  <si>
    <t>Dollars per hundredweight</t>
  </si>
  <si>
    <t>Cents per pound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</si>
  <si>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</si>
  <si>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</si>
  <si>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</si>
  <si>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</si>
  <si>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</si>
  <si>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</si>
  <si>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</si>
  <si>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</si>
  <si>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</si>
  <si>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</si>
  <si>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r>
      <t>2021/22</t>
    </r>
    <r>
      <rPr>
        <vertAlign val="superscript"/>
        <sz val="11"/>
        <rFont val="Arial"/>
        <family val="2"/>
      </rPr>
      <t>4</t>
    </r>
  </si>
  <si>
    <r>
      <t>2022/23</t>
    </r>
    <r>
      <rPr>
        <vertAlign val="superscript"/>
        <sz val="11"/>
        <rFont val="Arial"/>
        <family val="2"/>
      </rPr>
      <t>4</t>
    </r>
  </si>
  <si>
    <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September–August.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August–July.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July–June.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Preliminary. </t>
    </r>
  </si>
  <si>
    <r>
      <t xml:space="preserve">Source: USDA, Economic Research Service using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</si>
  <si>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t xml:space="preserve">Soybean </t>
  </si>
  <si>
    <t>Cottonseed</t>
  </si>
  <si>
    <t>Sunflower</t>
  </si>
  <si>
    <t>Canola</t>
  </si>
  <si>
    <t xml:space="preserve">Peanut </t>
  </si>
  <si>
    <t xml:space="preserve">Corn  </t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</si>
  <si>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</si>
  <si>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t xml:space="preserve">Edible  </t>
  </si>
  <si>
    <r>
      <t xml:space="preserve">oil </t>
    </r>
    <r>
      <rPr>
        <vertAlign val="superscript"/>
        <sz val="11"/>
        <rFont val="Arial"/>
        <family val="2"/>
      </rPr>
      <t xml:space="preserve">1 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</si>
  <si>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</si>
  <si>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</si>
  <si>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</si>
  <si>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</si>
  <si>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</si>
  <si>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t>------------------------------------------------------- Cents per pound----------------------------------------------</t>
  </si>
  <si>
    <r>
      <t>2021/22</t>
    </r>
    <r>
      <rPr>
        <vertAlign val="superscript"/>
        <sz val="11"/>
        <rFont val="Arial"/>
        <family val="2"/>
      </rPr>
      <t>7</t>
    </r>
  </si>
  <si>
    <r>
      <t>2022/23</t>
    </r>
    <r>
      <rPr>
        <vertAlign val="superscript"/>
        <sz val="11"/>
        <rFont val="Arial"/>
        <family val="2"/>
      </rPr>
      <t>7</t>
    </r>
  </si>
  <si>
    <r>
      <rPr>
        <sz val="11"/>
        <rFont val="Arial"/>
        <family val="2"/>
      </rPr>
      <t xml:space="preserve">NA = Not available.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</si>
  <si>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Central United States.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Chicago, IL. 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Preliminary. </t>
    </r>
  </si>
  <si>
    <r>
      <t xml:space="preserve">Sources: USDA, Economic Research Service using USDA, Agricultural Marketing Service, </t>
    </r>
    <r>
      <rPr>
        <i/>
        <sz val="11"/>
        <rFont val="Arial"/>
        <family val="2"/>
      </rPr>
      <t>National Grain and Oilseed Processor Feedstuff Report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Tallow and Protein Report</t>
    </r>
    <r>
      <rPr>
        <sz val="11"/>
        <rFont val="Arial"/>
        <family val="2"/>
      </rPr>
      <t xml:space="preserve">; and Sosland Publishing, </t>
    </r>
    <r>
      <rPr>
        <i/>
        <sz val="11"/>
        <rFont val="Arial"/>
        <family val="2"/>
      </rPr>
      <t>Milling and Baking News</t>
    </r>
    <r>
      <rPr>
        <sz val="11"/>
        <rFont val="Arial"/>
        <family val="2"/>
      </rPr>
      <t>.</t>
    </r>
  </si>
  <si>
    <t xml:space="preserve">Canola  </t>
  </si>
  <si>
    <t xml:space="preserve">Linseed </t>
  </si>
  <si>
    <r>
      <t xml:space="preserve">meal </t>
    </r>
    <r>
      <rPr>
        <vertAlign val="superscript"/>
        <sz val="11"/>
        <rFont val="Arial"/>
        <family val="2"/>
      </rPr>
      <t xml:space="preserve">1 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</si>
  <si>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</si>
  <si>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</si>
  <si>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</si>
  <si>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</si>
  <si>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</si>
  <si>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t>--------------------------------------------------- Dollars per short ton------------------------------------------</t>
  </si>
  <si>
    <t xml:space="preserve">January 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</si>
  <si>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High-protein, Decatur, IL.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41-percent Memphis, TN.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34-percent North Dakota-Minnesota.</t>
    </r>
  </si>
  <si>
    <r>
      <t>4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34-percent Minneapolis, MN.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Preliminary. </t>
    </r>
  </si>
  <si>
    <r>
      <t xml:space="preserve">Sources: USDA, Economic Research Service using USDA, Agricultural Marketing Service, </t>
    </r>
    <r>
      <rPr>
        <i/>
        <sz val="11"/>
        <rFont val="Arial"/>
        <family val="2"/>
      </rPr>
      <t>National Grain and Oilseed Processor Feedstuff Report.</t>
    </r>
  </si>
  <si>
    <t>Marketing year</t>
  </si>
  <si>
    <t>2022/23</t>
  </si>
  <si>
    <t>Date</t>
  </si>
  <si>
    <t>Oct. 2020</t>
  </si>
  <si>
    <t>Nov. 2020</t>
  </si>
  <si>
    <t>Dec. 2020</t>
  </si>
  <si>
    <t>Jan. 2021</t>
  </si>
  <si>
    <t>Feb. 2021</t>
  </si>
  <si>
    <t>Mar. 2021</t>
  </si>
  <si>
    <t>Apr. 2021</t>
  </si>
  <si>
    <t>May. 2021</t>
  </si>
  <si>
    <t>Jun. 2021</t>
  </si>
  <si>
    <t>Jul. 2021</t>
  </si>
  <si>
    <t>Aug. 2021</t>
  </si>
  <si>
    <t>Sep. 2021</t>
  </si>
  <si>
    <t>Oct. 2021</t>
  </si>
  <si>
    <t>Nov. 2021</t>
  </si>
  <si>
    <t>Dec. 2021</t>
  </si>
  <si>
    <t>Jan. 2022</t>
  </si>
  <si>
    <t>Feb. 2022</t>
  </si>
  <si>
    <t>Mar. 2022</t>
  </si>
  <si>
    <t>Apr. 2022</t>
  </si>
  <si>
    <t>May. 2022</t>
  </si>
  <si>
    <t>Jun. 2022</t>
  </si>
  <si>
    <t>Jul. 2022</t>
  </si>
  <si>
    <t>Aug. 2022</t>
  </si>
  <si>
    <t>Sep. 2022</t>
  </si>
  <si>
    <t>Oct. 2022</t>
  </si>
  <si>
    <t xml:space="preserve"> Palm oil stocks</t>
  </si>
  <si>
    <t>Percent of sown acreage harvested</t>
  </si>
  <si>
    <t>Week ending</t>
  </si>
  <si>
    <t>2015–2021 average</t>
  </si>
  <si>
    <t>Argentina, Up River + U.S. import tariff cost</t>
  </si>
  <si>
    <t xml:space="preserve">RBD Palm oil price, FOB Malaysia </t>
  </si>
  <si>
    <t>Argentina, Up River</t>
  </si>
  <si>
    <t>United States, Gulf</t>
  </si>
  <si>
    <t>2022/23 Oct.*</t>
  </si>
  <si>
    <t>2022/23 Nov.*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</si>
</sst>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"/>
    <numFmt numFmtId="170" formatCode="0.0000"/>
    <numFmt numFmtId="171" formatCode="_(* #,##0.00000_);_(* \(#,##0.00000\);_(* &quot;-&quot;??_);_(@_)"/>
    <numFmt numFmtId="172" formatCode="0.0%"/>
    <numFmt numFmtId="173" formatCode="mm/dd/yy"/>
  </numFmts>
  <fonts count="4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u/>
      <sz val="11"/>
      <color indexed="12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9" fontId="17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7" fillId="0" borderId="0"/>
    <xf numFmtId="0" fontId="31" fillId="0" borderId="0"/>
    <xf numFmtId="0" fontId="16" fillId="0" borderId="0"/>
    <xf numFmtId="0" fontId="15" fillId="0" borderId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4" fontId="17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74">
    <xf numFmtId="0" fontId="0" fillId="0" borderId="0" xfId="0"/>
    <xf numFmtId="0" fontId="18" fillId="0" borderId="0" xfId="8" applyFont="1"/>
    <xf numFmtId="0" fontId="19" fillId="0" borderId="0" xfId="8" applyFont="1"/>
    <xf numFmtId="0" fontId="24" fillId="0" borderId="0" xfId="8" applyFont="1" applyFill="1"/>
    <xf numFmtId="0" fontId="25" fillId="0" borderId="0" xfId="8" applyFont="1"/>
    <xf numFmtId="169" fontId="26" fillId="0" borderId="0" xfId="1" applyNumberFormat="1" applyFont="1" applyFill="1" applyAlignment="1">
      <alignment horizontal="right" indent="1"/>
    </xf>
    <xf numFmtId="169" fontId="26" fillId="0" borderId="0" xfId="1" applyNumberFormat="1" applyFont="1" applyFill="1" applyBorder="1" applyAlignment="1">
      <alignment horizontal="center"/>
    </xf>
    <xf numFmtId="169" fontId="26" fillId="0" borderId="0" xfId="1" applyNumberFormat="1" applyFont="1" applyFill="1" applyBorder="1" applyAlignment="1">
      <alignment horizontal="right" indent="1"/>
    </xf>
    <xf numFmtId="0" fontId="32" fillId="0" borderId="0" xfId="7" applyFont="1" applyAlignment="1">
      <alignment horizontal="left"/>
    </xf>
    <xf numFmtId="0" fontId="33" fillId="0" borderId="0" xfId="5" applyFont="1" applyAlignment="1" applyProtection="1"/>
    <xf numFmtId="14" fontId="32" fillId="0" borderId="0" xfId="7" applyNumberFormat="1" applyFont="1" applyAlignment="1">
      <alignment horizontal="left"/>
    </xf>
    <xf numFmtId="0" fontId="33" fillId="0" borderId="0" xfId="4" applyFont="1" applyAlignment="1" applyProtection="1"/>
    <xf numFmtId="0" fontId="26" fillId="0" borderId="0" xfId="7" quotePrefix="1" applyFont="1" applyAlignment="1">
      <alignment horizontal="left"/>
    </xf>
    <xf numFmtId="0" fontId="26" fillId="0" borderId="0" xfId="8" applyFont="1" applyBorder="1" applyAlignment="1">
      <alignment wrapText="1"/>
    </xf>
    <xf numFmtId="169" fontId="26" fillId="0" borderId="0" xfId="1" applyNumberFormat="1" applyFont="1" applyFill="1" applyBorder="1" applyAlignment="1">
      <alignment horizontal="right"/>
    </xf>
    <xf numFmtId="2" fontId="26" fillId="0" borderId="1" xfId="0" applyNumberFormat="1" applyFont="1" applyFill="1" applyBorder="1" applyAlignment="1">
      <alignment horizontal="right" indent="2"/>
    </xf>
    <xf numFmtId="0" fontId="26" fillId="0" borderId="1" xfId="0" applyFont="1" applyFill="1" applyBorder="1"/>
    <xf numFmtId="0" fontId="0" fillId="0" borderId="0" xfId="0" applyFill="1"/>
    <xf numFmtId="0" fontId="26" fillId="0" borderId="0" xfId="0" applyFont="1" applyFill="1"/>
    <xf numFmtId="0" fontId="26" fillId="0" borderId="2" xfId="0" applyFont="1" applyFill="1" applyBorder="1" applyAlignment="1">
      <alignment horizontal="right"/>
    </xf>
    <xf numFmtId="0" fontId="26" fillId="0" borderId="0" xfId="0" applyFont="1" applyFill="1" applyAlignment="1">
      <alignment horizontal="center"/>
    </xf>
    <xf numFmtId="0" fontId="0" fillId="0" borderId="2" xfId="0" applyFill="1" applyBorder="1"/>
    <xf numFmtId="0" fontId="26" fillId="0" borderId="0" xfId="0" applyFont="1" applyFill="1" applyBorder="1"/>
    <xf numFmtId="0" fontId="26" fillId="0" borderId="2" xfId="0" applyFont="1" applyFill="1" applyBorder="1" applyAlignment="1">
      <alignment horizontal="left"/>
    </xf>
    <xf numFmtId="0" fontId="26" fillId="0" borderId="0" xfId="0" applyFont="1" applyFill="1" applyAlignment="1">
      <alignment horizontal="right"/>
    </xf>
    <xf numFmtId="16" fontId="26" fillId="0" borderId="1" xfId="0" quotePrefix="1" applyNumberFormat="1" applyFont="1" applyFill="1" applyBorder="1"/>
    <xf numFmtId="16" fontId="26" fillId="0" borderId="1" xfId="0" applyNumberFormat="1" applyFont="1" applyFill="1" applyBorder="1"/>
    <xf numFmtId="0" fontId="26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right"/>
    </xf>
    <xf numFmtId="0" fontId="26" fillId="0" borderId="1" xfId="0" applyFont="1" applyFill="1" applyBorder="1" applyAlignment="1">
      <alignment horizontal="right" indent="1"/>
    </xf>
    <xf numFmtId="0" fontId="0" fillId="0" borderId="0" xfId="0" applyFill="1" applyAlignment="1">
      <alignment horizontal="left" indent="1"/>
    </xf>
    <xf numFmtId="0" fontId="27" fillId="0" borderId="3" xfId="0" quotePrefix="1" applyFont="1" applyFill="1" applyBorder="1" applyAlignment="1">
      <alignment horizontal="center"/>
    </xf>
    <xf numFmtId="0" fontId="27" fillId="0" borderId="0" xfId="0" quotePrefix="1" applyFont="1" applyFill="1" applyAlignment="1">
      <alignment horizontal="right"/>
    </xf>
    <xf numFmtId="167" fontId="26" fillId="0" borderId="0" xfId="0" applyNumberFormat="1" applyFont="1" applyFill="1" applyAlignment="1">
      <alignment horizontal="center"/>
    </xf>
    <xf numFmtId="165" fontId="26" fillId="0" borderId="0" xfId="1" applyNumberFormat="1" applyFont="1" applyFill="1" applyAlignment="1">
      <alignment horizontal="left"/>
    </xf>
    <xf numFmtId="165" fontId="26" fillId="0" borderId="0" xfId="1" applyNumberFormat="1" applyFont="1" applyFill="1" applyAlignment="1">
      <alignment horizontal="center"/>
    </xf>
    <xf numFmtId="3" fontId="26" fillId="0" borderId="0" xfId="1" applyNumberFormat="1" applyFont="1" applyFill="1" applyBorder="1" applyAlignment="1">
      <alignment horizontal="right" indent="1"/>
    </xf>
    <xf numFmtId="164" fontId="26" fillId="0" borderId="0" xfId="1" applyNumberFormat="1" applyFont="1" applyFill="1" applyBorder="1"/>
    <xf numFmtId="164" fontId="26" fillId="0" borderId="0" xfId="1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/>
    </xf>
    <xf numFmtId="0" fontId="32" fillId="0" borderId="0" xfId="0" applyFont="1" applyFill="1"/>
    <xf numFmtId="169" fontId="26" fillId="0" borderId="0" xfId="1" quotePrefix="1" applyNumberFormat="1" applyFont="1" applyFill="1" applyBorder="1" applyAlignment="1">
      <alignment horizontal="right"/>
    </xf>
    <xf numFmtId="164" fontId="26" fillId="0" borderId="0" xfId="1" applyNumberFormat="1" applyFont="1" applyFill="1" applyBorder="1" applyAlignment="1">
      <alignment horizontal="center"/>
    </xf>
    <xf numFmtId="164" fontId="26" fillId="0" borderId="0" xfId="1" quotePrefix="1" applyNumberFormat="1" applyFont="1" applyFill="1" applyBorder="1" applyAlignment="1">
      <alignment horizontal="center"/>
    </xf>
    <xf numFmtId="169" fontId="0" fillId="0" borderId="0" xfId="0" applyNumberFormat="1" applyFill="1"/>
    <xf numFmtId="169" fontId="26" fillId="0" borderId="1" xfId="1" applyNumberFormat="1" applyFont="1" applyFill="1" applyBorder="1" applyAlignment="1">
      <alignment horizontal="right" indent="1"/>
    </xf>
    <xf numFmtId="164" fontId="26" fillId="0" borderId="0" xfId="1" applyNumberFormat="1" applyFont="1" applyFill="1"/>
    <xf numFmtId="14" fontId="26" fillId="0" borderId="0" xfId="0" applyNumberFormat="1" applyFont="1" applyFill="1" applyAlignment="1">
      <alignment horizontal="left"/>
    </xf>
    <xf numFmtId="0" fontId="0" fillId="0" borderId="0" xfId="0" applyFill="1" applyProtection="1"/>
    <xf numFmtId="3" fontId="26" fillId="0" borderId="0" xfId="1" applyNumberFormat="1" applyFont="1" applyFill="1" applyAlignment="1">
      <alignment horizontal="right" indent="2"/>
    </xf>
    <xf numFmtId="3" fontId="26" fillId="0" borderId="0" xfId="1" applyNumberFormat="1" applyFont="1" applyFill="1" applyAlignment="1">
      <alignment horizontal="right" indent="1"/>
    </xf>
    <xf numFmtId="3" fontId="26" fillId="0" borderId="0" xfId="1" applyNumberFormat="1" applyFont="1" applyFill="1" applyAlignment="1">
      <alignment horizontal="center"/>
    </xf>
    <xf numFmtId="0" fontId="32" fillId="0" borderId="0" xfId="0" applyFont="1" applyFill="1" applyBorder="1"/>
    <xf numFmtId="169" fontId="26" fillId="0" borderId="0" xfId="1" applyNumberFormat="1" applyFont="1" applyFill="1" applyBorder="1" applyAlignment="1">
      <alignment horizontal="right" indent="2"/>
    </xf>
    <xf numFmtId="169" fontId="26" fillId="0" borderId="1" xfId="1" applyNumberFormat="1" applyFont="1" applyFill="1" applyBorder="1" applyAlignment="1">
      <alignment horizontal="right" indent="2"/>
    </xf>
    <xf numFmtId="0" fontId="28" fillId="0" borderId="0" xfId="0" applyFont="1" applyFill="1"/>
    <xf numFmtId="0" fontId="0" fillId="0" borderId="0" xfId="0" applyFill="1" applyBorder="1"/>
    <xf numFmtId="164" fontId="0" fillId="0" borderId="0" xfId="1" applyNumberFormat="1" applyFont="1" applyFill="1" applyBorder="1"/>
    <xf numFmtId="164" fontId="0" fillId="0" borderId="0" xfId="1" quotePrefix="1" applyNumberFormat="1" applyFont="1" applyFill="1" applyBorder="1" applyAlignment="1">
      <alignment horizontal="center"/>
    </xf>
    <xf numFmtId="164" fontId="0" fillId="0" borderId="0" xfId="1" quotePrefix="1" applyNumberFormat="1" applyFont="1" applyFill="1" applyBorder="1"/>
    <xf numFmtId="169" fontId="26" fillId="0" borderId="0" xfId="0" applyNumberFormat="1" applyFont="1" applyFill="1" applyBorder="1"/>
    <xf numFmtId="169" fontId="26" fillId="0" borderId="1" xfId="1" applyNumberFormat="1" applyFont="1" applyFill="1" applyBorder="1" applyAlignment="1">
      <alignment horizontal="center"/>
    </xf>
    <xf numFmtId="165" fontId="26" fillId="0" borderId="1" xfId="1" applyNumberFormat="1" applyFont="1" applyFill="1" applyBorder="1" applyAlignment="1">
      <alignment horizontal="right"/>
    </xf>
    <xf numFmtId="16" fontId="26" fillId="0" borderId="0" xfId="0" applyNumberFormat="1" applyFont="1" applyFill="1" applyBorder="1"/>
    <xf numFmtId="0" fontId="27" fillId="0" borderId="0" xfId="0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right" indent="2"/>
    </xf>
    <xf numFmtId="170" fontId="26" fillId="0" borderId="0" xfId="0" applyNumberFormat="1" applyFont="1" applyFill="1" applyBorder="1"/>
    <xf numFmtId="43" fontId="26" fillId="0" borderId="0" xfId="1" quotePrefix="1" applyNumberFormat="1" applyFont="1" applyFill="1" applyBorder="1" applyAlignment="1">
      <alignment horizontal="center"/>
    </xf>
    <xf numFmtId="166" fontId="26" fillId="0" borderId="0" xfId="1" quotePrefix="1" applyNumberFormat="1" applyFont="1" applyFill="1" applyBorder="1" applyAlignment="1">
      <alignment horizontal="center"/>
    </xf>
    <xf numFmtId="43" fontId="26" fillId="0" borderId="0" xfId="1" quotePrefix="1" applyFont="1" applyFill="1" applyBorder="1" applyAlignment="1">
      <alignment horizontal="center"/>
    </xf>
    <xf numFmtId="43" fontId="26" fillId="0" borderId="0" xfId="1" applyNumberFormat="1" applyFont="1" applyFill="1" applyBorder="1" applyAlignment="1">
      <alignment horizontal="center"/>
    </xf>
    <xf numFmtId="0" fontId="32" fillId="0" borderId="0" xfId="0" quotePrefix="1" applyFont="1" applyFill="1"/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 indent="1"/>
    </xf>
    <xf numFmtId="0" fontId="26" fillId="0" borderId="3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left"/>
    </xf>
    <xf numFmtId="0" fontId="27" fillId="0" borderId="3" xfId="0" quotePrefix="1" applyFont="1" applyFill="1" applyBorder="1" applyAlignment="1"/>
    <xf numFmtId="0" fontId="27" fillId="0" borderId="3" xfId="0" applyFont="1" applyFill="1" applyBorder="1" applyAlignment="1"/>
    <xf numFmtId="43" fontId="26" fillId="0" borderId="0" xfId="1" applyNumberFormat="1" applyFont="1" applyFill="1" applyBorder="1"/>
    <xf numFmtId="2" fontId="26" fillId="0" borderId="0" xfId="0" applyNumberFormat="1" applyFont="1" applyFill="1" applyBorder="1" applyAlignment="1">
      <alignment horizontal="center"/>
    </xf>
    <xf numFmtId="43" fontId="26" fillId="0" borderId="0" xfId="0" applyNumberFormat="1" applyFont="1" applyFill="1"/>
    <xf numFmtId="0" fontId="21" fillId="0" borderId="0" xfId="0" applyFont="1" applyFill="1"/>
    <xf numFmtId="2" fontId="0" fillId="0" borderId="0" xfId="0" applyNumberFormat="1" applyFill="1"/>
    <xf numFmtId="165" fontId="26" fillId="0" borderId="0" xfId="1" applyNumberFormat="1" applyFont="1" applyFill="1" applyBorder="1" applyAlignment="1">
      <alignment horizontal="center"/>
    </xf>
    <xf numFmtId="47" fontId="0" fillId="0" borderId="0" xfId="0" applyNumberFormat="1" applyFill="1"/>
    <xf numFmtId="43" fontId="26" fillId="0" borderId="0" xfId="1" applyFont="1" applyFill="1" applyBorder="1" applyAlignment="1">
      <alignment horizontal="center"/>
    </xf>
    <xf numFmtId="43" fontId="0" fillId="0" borderId="0" xfId="1" applyFont="1" applyFill="1"/>
    <xf numFmtId="0" fontId="30" fillId="0" borderId="0" xfId="0" applyFont="1" applyFill="1" applyAlignment="1">
      <alignment vertical="center"/>
    </xf>
    <xf numFmtId="168" fontId="26" fillId="0" borderId="0" xfId="0" applyNumberFormat="1" applyFont="1" applyFill="1"/>
    <xf numFmtId="2" fontId="26" fillId="0" borderId="0" xfId="0" applyNumberFormat="1" applyFont="1" applyFill="1"/>
    <xf numFmtId="43" fontId="0" fillId="0" borderId="0" xfId="1" applyFont="1" applyFill="1" applyBorder="1"/>
    <xf numFmtId="43" fontId="0" fillId="0" borderId="0" xfId="0" applyNumberFormat="1" applyFill="1"/>
    <xf numFmtId="0" fontId="26" fillId="0" borderId="3" xfId="0" applyFont="1" applyFill="1" applyBorder="1"/>
    <xf numFmtId="0" fontId="26" fillId="0" borderId="0" xfId="0" applyFont="1" applyFill="1" applyBorder="1" applyAlignment="1">
      <alignment horizontal="right"/>
    </xf>
    <xf numFmtId="165" fontId="26" fillId="0" borderId="0" xfId="1" applyNumberFormat="1" applyFont="1" applyFill="1"/>
    <xf numFmtId="37" fontId="26" fillId="0" borderId="0" xfId="1" applyNumberFormat="1" applyFont="1" applyFill="1" applyBorder="1" applyAlignment="1">
      <alignment horizontal="center"/>
    </xf>
    <xf numFmtId="37" fontId="26" fillId="0" borderId="0" xfId="1" applyNumberFormat="1" applyFont="1" applyFill="1" applyBorder="1" applyAlignment="1">
      <alignment horizontal="right" indent="2"/>
    </xf>
    <xf numFmtId="165" fontId="26" fillId="0" borderId="0" xfId="1" applyNumberFormat="1" applyFont="1" applyFill="1" applyBorder="1"/>
    <xf numFmtId="37" fontId="26" fillId="0" borderId="0" xfId="1" applyNumberFormat="1" applyFont="1" applyFill="1" applyBorder="1" applyAlignment="1">
      <alignment horizontal="right" indent="1"/>
    </xf>
    <xf numFmtId="37" fontId="26" fillId="0" borderId="1" xfId="1" applyNumberFormat="1" applyFont="1" applyFill="1" applyBorder="1" applyAlignment="1">
      <alignment horizontal="center"/>
    </xf>
    <xf numFmtId="37" fontId="26" fillId="0" borderId="1" xfId="1" applyNumberFormat="1" applyFont="1" applyFill="1" applyBorder="1" applyAlignment="1">
      <alignment horizontal="right" indent="2"/>
    </xf>
    <xf numFmtId="165" fontId="26" fillId="0" borderId="1" xfId="1" applyNumberFormat="1" applyFont="1" applyFill="1" applyBorder="1"/>
    <xf numFmtId="37" fontId="26" fillId="0" borderId="1" xfId="1" applyNumberFormat="1" applyFont="1" applyFill="1" applyBorder="1" applyAlignment="1">
      <alignment horizontal="right" indent="1"/>
    </xf>
    <xf numFmtId="9" fontId="26" fillId="0" borderId="0" xfId="12" applyFont="1" applyFill="1"/>
    <xf numFmtId="1" fontId="26" fillId="0" borderId="0" xfId="0" applyNumberFormat="1" applyFont="1" applyFill="1" applyBorder="1" applyAlignment="1">
      <alignment horizontal="center"/>
    </xf>
    <xf numFmtId="1" fontId="26" fillId="0" borderId="1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left"/>
    </xf>
    <xf numFmtId="0" fontId="27" fillId="0" borderId="4" xfId="0" applyFont="1" applyFill="1" applyBorder="1" applyAlignment="1">
      <alignment horizontal="center"/>
    </xf>
    <xf numFmtId="14" fontId="26" fillId="0" borderId="0" xfId="0" applyNumberFormat="1" applyFont="1" applyFill="1" applyAlignment="1">
      <alignment horizontal="right" inden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vertical="center" wrapText="1"/>
    </xf>
    <xf numFmtId="3" fontId="0" fillId="0" borderId="0" xfId="0" applyNumberFormat="1" applyFill="1"/>
    <xf numFmtId="169" fontId="26" fillId="0" borderId="0" xfId="1" applyNumberFormat="1" applyFont="1" applyFill="1" applyAlignment="1">
      <alignment horizontal="center"/>
    </xf>
    <xf numFmtId="0" fontId="28" fillId="0" borderId="3" xfId="0" applyFont="1" applyFill="1" applyBorder="1"/>
    <xf numFmtId="164" fontId="26" fillId="0" borderId="3" xfId="0" applyNumberFormat="1" applyFont="1" applyFill="1" applyBorder="1"/>
    <xf numFmtId="43" fontId="26" fillId="0" borderId="1" xfId="1" applyFont="1" applyFill="1" applyBorder="1" applyAlignment="1">
      <alignment horizontal="center"/>
    </xf>
    <xf numFmtId="171" fontId="0" fillId="0" borderId="0" xfId="1" applyNumberFormat="1" applyFont="1" applyFill="1" applyBorder="1"/>
    <xf numFmtId="0" fontId="17" fillId="0" borderId="0" xfId="8" applyFont="1"/>
    <xf numFmtId="0" fontId="17" fillId="0" borderId="0" xfId="8" applyFont="1" applyFill="1"/>
    <xf numFmtId="0" fontId="17" fillId="0" borderId="0" xfId="0" applyFont="1" applyFill="1" applyBorder="1"/>
    <xf numFmtId="0" fontId="17" fillId="0" borderId="0" xfId="0" applyFont="1" applyFill="1"/>
    <xf numFmtId="2" fontId="34" fillId="0" borderId="0" xfId="0" applyNumberFormat="1" applyFont="1" applyFill="1" applyBorder="1" applyAlignment="1">
      <alignment horizontal="right" indent="2"/>
    </xf>
    <xf numFmtId="4" fontId="35" fillId="0" borderId="0" xfId="0" applyNumberFormat="1" applyFont="1"/>
    <xf numFmtId="0" fontId="17" fillId="0" borderId="0" xfId="0" applyFont="1" applyAlignment="1">
      <alignment horizontal="right"/>
    </xf>
    <xf numFmtId="2" fontId="17" fillId="0" borderId="0" xfId="0" applyNumberFormat="1" applyFont="1" applyAlignment="1">
      <alignment horizontal="right"/>
    </xf>
    <xf numFmtId="172" fontId="21" fillId="0" borderId="0" xfId="12" applyNumberFormat="1" applyFont="1" applyFill="1"/>
    <xf numFmtId="2" fontId="17" fillId="0" borderId="0" xfId="0" applyNumberFormat="1" applyFont="1" applyFill="1" applyAlignment="1">
      <alignment horizontal="right"/>
    </xf>
    <xf numFmtId="0" fontId="32" fillId="0" borderId="1" xfId="0" applyFont="1" applyBorder="1"/>
    <xf numFmtId="0" fontId="26" fillId="0" borderId="0" xfId="0" applyFont="1"/>
    <xf numFmtId="4" fontId="0" fillId="0" borderId="0" xfId="0" applyNumberFormat="1"/>
    <xf numFmtId="169" fontId="26" fillId="0" borderId="0" xfId="1" applyNumberFormat="1" applyFont="1" applyBorder="1" applyAlignment="1">
      <alignment horizontal="right" indent="1"/>
    </xf>
    <xf numFmtId="0" fontId="17" fillId="0" borderId="0" xfId="20"/>
    <xf numFmtId="37" fontId="0" fillId="0" borderId="0" xfId="0" applyNumberFormat="1" applyFill="1"/>
    <xf numFmtId="2" fontId="34" fillId="0" borderId="1" xfId="0" applyNumberFormat="1" applyFont="1" applyBorder="1" applyAlignment="1">
      <alignment horizontal="right" indent="2"/>
    </xf>
    <xf numFmtId="3" fontId="17" fillId="0" borderId="0" xfId="20" applyNumberFormat="1"/>
    <xf numFmtId="3" fontId="26" fillId="0" borderId="0" xfId="0" applyNumberFormat="1" applyFont="1"/>
    <xf numFmtId="0" fontId="36" fillId="0" borderId="0" xfId="36" applyFont="1" applyAlignment="1">
      <alignment horizontal="center"/>
    </xf>
    <xf numFmtId="165" fontId="17" fillId="0" borderId="0" xfId="20" applyNumberFormat="1"/>
    <xf numFmtId="3" fontId="38" fillId="0" borderId="0" xfId="1" applyNumberFormat="1" applyFont="1" applyFill="1"/>
    <xf numFmtId="0" fontId="26" fillId="0" borderId="2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0" fontId="32" fillId="0" borderId="0" xfId="0" quotePrefix="1" applyFont="1" applyFill="1" applyBorder="1"/>
    <xf numFmtId="2" fontId="34" fillId="0" borderId="0" xfId="0" applyNumberFormat="1" applyFont="1" applyBorder="1" applyAlignment="1">
      <alignment horizontal="right" indent="2"/>
    </xf>
    <xf numFmtId="0" fontId="39" fillId="0" borderId="1" xfId="29" applyFont="1" applyBorder="1" applyAlignment="1">
      <alignment horizontal="center" wrapText="1"/>
    </xf>
    <xf numFmtId="0" fontId="37" fillId="0" borderId="1" xfId="39" applyFont="1" applyBorder="1" applyAlignment="1">
      <alignment horizontal="center" wrapText="1"/>
    </xf>
    <xf numFmtId="0" fontId="24" fillId="0" borderId="1" xfId="20" quotePrefix="1" applyFont="1" applyBorder="1" applyAlignment="1">
      <alignment horizontal="center"/>
    </xf>
    <xf numFmtId="0" fontId="36" fillId="0" borderId="0" xfId="39" applyFont="1"/>
    <xf numFmtId="0" fontId="40" fillId="0" borderId="0" xfId="20" quotePrefix="1" applyFont="1" applyAlignment="1">
      <alignment horizontal="center"/>
    </xf>
    <xf numFmtId="165" fontId="40" fillId="0" borderId="0" xfId="14" applyNumberFormat="1" applyFont="1" applyAlignment="1">
      <alignment horizontal="center"/>
    </xf>
    <xf numFmtId="39" fontId="40" fillId="0" borderId="0" xfId="14" applyNumberFormat="1" applyFont="1" applyAlignment="1">
      <alignment horizontal="center"/>
    </xf>
    <xf numFmtId="41" fontId="3" fillId="0" borderId="0" xfId="33" applyNumberFormat="1" applyFont="1" applyFill="1" applyAlignment="1">
      <alignment horizontal="center"/>
    </xf>
    <xf numFmtId="41" fontId="36" fillId="0" borderId="0" xfId="33" applyNumberFormat="1" applyFont="1" applyFill="1"/>
    <xf numFmtId="0" fontId="36" fillId="0" borderId="0" xfId="39" applyFont="1" applyAlignment="1">
      <alignment horizontal="center"/>
    </xf>
    <xf numFmtId="165" fontId="38" fillId="0" borderId="0" xfId="14" applyNumberFormat="1" applyFont="1" applyFill="1"/>
    <xf numFmtId="41" fontId="36" fillId="0" borderId="0" xfId="33" applyNumberFormat="1" applyFont="1" applyFill="1" applyAlignment="1">
      <alignment horizontal="center"/>
    </xf>
    <xf numFmtId="0" fontId="17" fillId="0" borderId="0" xfId="20" applyBorder="1"/>
    <xf numFmtId="0" fontId="37" fillId="0" borderId="0" xfId="36" applyFont="1" applyBorder="1" applyAlignment="1">
      <alignment horizontal="center" wrapText="1"/>
    </xf>
    <xf numFmtId="3" fontId="38" fillId="0" borderId="0" xfId="1" applyNumberFormat="1" applyFont="1" applyFill="1" applyBorder="1"/>
    <xf numFmtId="0" fontId="24" fillId="0" borderId="0" xfId="20" applyFont="1"/>
    <xf numFmtId="0" fontId="24" fillId="0" borderId="0" xfId="20" applyFont="1" applyAlignment="1">
      <alignment horizontal="centerContinuous"/>
    </xf>
    <xf numFmtId="173" fontId="0" fillId="0" borderId="0" xfId="0" applyNumberFormat="1"/>
    <xf numFmtId="0" fontId="24" fillId="0" borderId="0" xfId="20" applyFont="1" applyAlignment="1">
      <alignment wrapText="1"/>
    </xf>
    <xf numFmtId="39" fontId="36" fillId="0" borderId="0" xfId="39" applyNumberFormat="1" applyFont="1"/>
    <xf numFmtId="172" fontId="36" fillId="0" borderId="0" xfId="12" applyNumberFormat="1" applyFont="1"/>
    <xf numFmtId="43" fontId="36" fillId="0" borderId="0" xfId="39" applyNumberFormat="1" applyFont="1"/>
    <xf numFmtId="9" fontId="36" fillId="0" borderId="0" xfId="12" applyFont="1" applyFill="1" applyAlignment="1">
      <alignment horizontal="center"/>
    </xf>
    <xf numFmtId="0" fontId="39" fillId="0" borderId="1" xfId="41" applyFont="1" applyBorder="1" applyAlignment="1">
      <alignment horizontal="center" wrapText="1"/>
    </xf>
    <xf numFmtId="0" fontId="26" fillId="0" borderId="2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0" fontId="27" fillId="0" borderId="2" xfId="0" quotePrefix="1" applyFont="1" applyFill="1" applyBorder="1" applyAlignment="1">
      <alignment horizontal="center"/>
    </xf>
    <xf numFmtId="0" fontId="27" fillId="0" borderId="5" xfId="0" quotePrefix="1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/>
    </xf>
  </cellXfs>
  <cellStyles count="42">
    <cellStyle name="Comma" xfId="1" builtinId="3"/>
    <cellStyle name="Comma 19" xfId="38" xr:uid="{DDCE393F-1348-4189-A747-6A37252868C8}"/>
    <cellStyle name="Comma 2" xfId="2" xr:uid="{00000000-0005-0000-0000-000001000000}"/>
    <cellStyle name="Comma 2 2" xfId="14" xr:uid="{1C9077E0-5527-45A6-8EEF-D5F248207782}"/>
    <cellStyle name="Comma 3" xfId="3" xr:uid="{00000000-0005-0000-0000-000002000000}"/>
    <cellStyle name="Comma 3 2" xfId="19" xr:uid="{3120B3EF-49C7-4F29-8FAD-0F36D06DEE97}"/>
    <cellStyle name="Comma 4" xfId="26" xr:uid="{72CFA3EC-CECD-491F-ADC8-BC4C3EA901CF}"/>
    <cellStyle name="Comma 5" xfId="28" xr:uid="{70FA35DD-5A4C-4F46-9C0F-4EF98207937B}"/>
    <cellStyle name="Comma 5 2" xfId="31" xr:uid="{1A54A7D5-5C84-48D6-943B-F788A3F8D756}"/>
    <cellStyle name="Currency 2" xfId="33" xr:uid="{8219487F-D241-4C0D-8320-8F18D40FD705}"/>
    <cellStyle name="Hyperlink" xfId="4" builtinId="8"/>
    <cellStyle name="Hyperlink 2" xfId="5" xr:uid="{00000000-0005-0000-0000-000004000000}"/>
    <cellStyle name="Hyperlink 3" xfId="6" xr:uid="{00000000-0005-0000-0000-000005000000}"/>
    <cellStyle name="Normal" xfId="0" builtinId="0"/>
    <cellStyle name="Normal 10" xfId="27" xr:uid="{89A3A5E2-F786-4249-BED3-9C369DE53169}"/>
    <cellStyle name="Normal 11" xfId="29" xr:uid="{4B9E3B86-F018-48E8-A1B7-B09DE503DA20}"/>
    <cellStyle name="Normal 11 2" xfId="30" xr:uid="{75FDC25E-C28E-497B-82EF-A28CA2584098}"/>
    <cellStyle name="Normal 11 2 2" xfId="40" xr:uid="{AF392839-9EFD-46E7-9522-B670F46A3E86}"/>
    <cellStyle name="Normal 11 3" xfId="32" xr:uid="{5440E113-77DF-4DAD-9026-4858CCB03DB9}"/>
    <cellStyle name="Normal 11 4" xfId="34" xr:uid="{A40234E1-3048-4174-AD15-1523030C134E}"/>
    <cellStyle name="Normal 11 5" xfId="35" xr:uid="{4DBA6093-DBC1-4A4A-9E14-A119E11ED16A}"/>
    <cellStyle name="Normal 11 6" xfId="36" xr:uid="{D17AAFBD-A258-4936-AA31-95286968AA67}"/>
    <cellStyle name="Normal 11 7" xfId="37" xr:uid="{6CE0624E-52F1-420A-B337-3C1B5BC972EB}"/>
    <cellStyle name="Normal 11 8" xfId="39" xr:uid="{0BF66E25-9592-468E-9940-DD1B664A8C87}"/>
    <cellStyle name="Normal 11 9" xfId="41" xr:uid="{76238D42-3A4F-48DE-9A10-ACA406295500}"/>
    <cellStyle name="Normal 2" xfId="7" xr:uid="{00000000-0005-0000-0000-000007000000}"/>
    <cellStyle name="Normal 2 2" xfId="8" xr:uid="{00000000-0005-0000-0000-000008000000}"/>
    <cellStyle name="Normal 2 2 2" xfId="20" xr:uid="{4218E9B5-D982-4A69-9450-7E22F3E734BF}"/>
    <cellStyle name="Normal 3" xfId="9" xr:uid="{00000000-0005-0000-0000-000009000000}"/>
    <cellStyle name="Normal 3 2" xfId="21" xr:uid="{70607CDE-CC71-4B27-B690-3D2401DD0B38}"/>
    <cellStyle name="Normal 4" xfId="10" xr:uid="{00000000-0005-0000-0000-00000A000000}"/>
    <cellStyle name="Normal 4 2" xfId="15" xr:uid="{4805FFD6-0377-46EF-881C-FDB9DF487011}"/>
    <cellStyle name="Normal 5" xfId="11" xr:uid="{00000000-0005-0000-0000-00000B000000}"/>
    <cellStyle name="Normal 5 2" xfId="22" xr:uid="{906AD1FA-0DAF-4AED-832F-0612469F913A}"/>
    <cellStyle name="Normal 6" xfId="13" xr:uid="{EBE75F6A-C88B-45B8-A8CA-B04BAAF6B28C}"/>
    <cellStyle name="Normal 7" xfId="16" xr:uid="{3D34A042-2E55-4E8C-B59D-A542FFF81875}"/>
    <cellStyle name="Normal 8" xfId="17" xr:uid="{143C9F5F-F88C-47AA-BCFD-A8A982B2D432}"/>
    <cellStyle name="Normal 8 2" xfId="18" xr:uid="{7A34C163-7F3A-42B6-97BB-A06A0BE76841}"/>
    <cellStyle name="Normal 8 2 2" xfId="24" xr:uid="{A6D8C73B-EA27-43A5-9A18-2BFF8F10C0A2}"/>
    <cellStyle name="Normal 8 3" xfId="23" xr:uid="{A94EEB1A-B27E-4B51-9834-B757898F882E}"/>
    <cellStyle name="Normal 9" xfId="25" xr:uid="{AF562AB2-2E7D-4C04-814F-6AC30A92CE3A}"/>
    <cellStyle name="Percent" xfId="12" builtinId="5"/>
  </cellStyles>
  <dxfs count="0"/>
  <tableStyles count="0" defaultTableStyle="TableStyleMedium9" defaultPivotStyle="PivotStyleLight16"/>
  <colors>
    <mruColors>
      <color rgb="FF0000FF"/>
      <color rgb="FFC0504D"/>
      <color rgb="FFFFCF01"/>
      <color rgb="FFFA6400"/>
      <color rgb="FFC0502F"/>
      <color rgb="FFD99694"/>
      <color rgb="FFFB0BCD"/>
      <color rgb="FFFFFF00"/>
      <color rgb="FFBE4D4A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Relationship Id="rId4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1</a:t>
            </a:r>
            <a:endParaRPr lang="en-US" sz="800">
              <a:effectLst/>
            </a:endParaRPr>
          </a:p>
          <a:p>
            <a:pPr algn="l">
              <a:defRPr sz="1050" b="1"/>
            </a:pPr>
            <a:r>
              <a:rPr lang="en-US" sz="1100" b="1" i="0" baseline="0">
                <a:effectLst/>
              </a:rPr>
              <a:t>U.S. soybean harvest progress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1.4319901188821985E-2"/>
          <c:y val="6.289308176100629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728952150212006E-2"/>
          <c:y val="0.20825296889675429"/>
          <c:w val="0.89702503533212208"/>
          <c:h val="0.52530626835809169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1'!$B$2</c:f>
              <c:strCache>
                <c:ptCount val="1"/>
                <c:pt idx="0">
                  <c:v>2015–2021 average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1'!$A$3:$A$10</c:f>
              <c:numCache>
                <c:formatCode>mm/dd/yy</c:formatCode>
                <c:ptCount val="8"/>
                <c:pt idx="0">
                  <c:v>44822</c:v>
                </c:pt>
                <c:pt idx="1">
                  <c:v>44829</c:v>
                </c:pt>
                <c:pt idx="2">
                  <c:v>44836</c:v>
                </c:pt>
                <c:pt idx="3">
                  <c:v>44843</c:v>
                </c:pt>
                <c:pt idx="4">
                  <c:v>44850</c:v>
                </c:pt>
                <c:pt idx="5">
                  <c:v>44857</c:v>
                </c:pt>
                <c:pt idx="6">
                  <c:v>44864</c:v>
                </c:pt>
                <c:pt idx="7">
                  <c:v>44871</c:v>
                </c:pt>
              </c:numCache>
            </c:numRef>
          </c:cat>
          <c:val>
            <c:numRef>
              <c:f>'Figure 1'!$B$3:$B$10</c:f>
              <c:numCache>
                <c:formatCode>General</c:formatCode>
                <c:ptCount val="8"/>
                <c:pt idx="0">
                  <c:v>5</c:v>
                </c:pt>
                <c:pt idx="1">
                  <c:v>13</c:v>
                </c:pt>
                <c:pt idx="2">
                  <c:v>25</c:v>
                </c:pt>
                <c:pt idx="3">
                  <c:v>38</c:v>
                </c:pt>
                <c:pt idx="4">
                  <c:v>52</c:v>
                </c:pt>
                <c:pt idx="5">
                  <c:v>67</c:v>
                </c:pt>
                <c:pt idx="6">
                  <c:v>78</c:v>
                </c:pt>
                <c:pt idx="7">
                  <c:v>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9C-4DA1-80F5-46C808BC71A2}"/>
            </c:ext>
          </c:extLst>
        </c:ser>
        <c:ser>
          <c:idx val="1"/>
          <c:order val="1"/>
          <c:tx>
            <c:strRef>
              <c:f>'Figure 1'!$C$2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cat>
            <c:numRef>
              <c:f>'Figure 1'!$A$3:$A$10</c:f>
              <c:numCache>
                <c:formatCode>mm/dd/yy</c:formatCode>
                <c:ptCount val="8"/>
                <c:pt idx="0">
                  <c:v>44822</c:v>
                </c:pt>
                <c:pt idx="1">
                  <c:v>44829</c:v>
                </c:pt>
                <c:pt idx="2">
                  <c:v>44836</c:v>
                </c:pt>
                <c:pt idx="3">
                  <c:v>44843</c:v>
                </c:pt>
                <c:pt idx="4">
                  <c:v>44850</c:v>
                </c:pt>
                <c:pt idx="5">
                  <c:v>44857</c:v>
                </c:pt>
                <c:pt idx="6">
                  <c:v>44864</c:v>
                </c:pt>
                <c:pt idx="7">
                  <c:v>44871</c:v>
                </c:pt>
              </c:numCache>
            </c:numRef>
          </c:cat>
          <c:val>
            <c:numRef>
              <c:f>'Figure 1'!$C$3:$C$10</c:f>
              <c:numCache>
                <c:formatCode>General</c:formatCode>
                <c:ptCount val="8"/>
                <c:pt idx="0">
                  <c:v>6</c:v>
                </c:pt>
                <c:pt idx="1">
                  <c:v>16</c:v>
                </c:pt>
                <c:pt idx="2">
                  <c:v>34</c:v>
                </c:pt>
                <c:pt idx="3">
                  <c:v>49</c:v>
                </c:pt>
                <c:pt idx="4">
                  <c:v>60</c:v>
                </c:pt>
                <c:pt idx="5">
                  <c:v>73</c:v>
                </c:pt>
                <c:pt idx="6">
                  <c:v>79</c:v>
                </c:pt>
                <c:pt idx="7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9C-4DA1-80F5-46C808BC71A2}"/>
            </c:ext>
          </c:extLst>
        </c:ser>
        <c:ser>
          <c:idx val="2"/>
          <c:order val="2"/>
          <c:tx>
            <c:strRef>
              <c:f>'Figure 1'!$D$2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'Figure 1'!$A$3:$A$10</c:f>
              <c:numCache>
                <c:formatCode>mm/dd/yy</c:formatCode>
                <c:ptCount val="8"/>
                <c:pt idx="0">
                  <c:v>44822</c:v>
                </c:pt>
                <c:pt idx="1">
                  <c:v>44829</c:v>
                </c:pt>
                <c:pt idx="2">
                  <c:v>44836</c:v>
                </c:pt>
                <c:pt idx="3">
                  <c:v>44843</c:v>
                </c:pt>
                <c:pt idx="4">
                  <c:v>44850</c:v>
                </c:pt>
                <c:pt idx="5">
                  <c:v>44857</c:v>
                </c:pt>
                <c:pt idx="6">
                  <c:v>44864</c:v>
                </c:pt>
                <c:pt idx="7">
                  <c:v>44871</c:v>
                </c:pt>
              </c:numCache>
            </c:numRef>
          </c:cat>
          <c:val>
            <c:numRef>
              <c:f>'Figure 1'!$D$3:$D$10</c:f>
              <c:numCache>
                <c:formatCode>General</c:formatCode>
                <c:ptCount val="8"/>
                <c:pt idx="0">
                  <c:v>3</c:v>
                </c:pt>
                <c:pt idx="1">
                  <c:v>8</c:v>
                </c:pt>
                <c:pt idx="2">
                  <c:v>22</c:v>
                </c:pt>
                <c:pt idx="3">
                  <c:v>44</c:v>
                </c:pt>
                <c:pt idx="4">
                  <c:v>63</c:v>
                </c:pt>
                <c:pt idx="5">
                  <c:v>80</c:v>
                </c:pt>
                <c:pt idx="6">
                  <c:v>88</c:v>
                </c:pt>
                <c:pt idx="7">
                  <c:v>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9C-4DA1-80F5-46C808BC71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7172272"/>
        <c:axId val="667170632"/>
      </c:lineChart>
      <c:date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Week ending</a:t>
                </a:r>
              </a:p>
            </c:rich>
          </c:tx>
          <c:layout>
            <c:manualLayout>
              <c:xMode val="edge"/>
              <c:yMode val="edge"/>
              <c:x val="0.46324668551046505"/>
              <c:y val="0.857478231887680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mm/dd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Offset val="100"/>
        <c:baseTimeUnit val="days"/>
      </c:date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marL="0" marR="0" lvl="0" indent="0" algn="l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baseline="0">
                    <a:effectLst/>
                  </a:rPr>
                  <a:t>Percent harvested</a:t>
                </a:r>
                <a:endParaRPr lang="en-US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1.6789208752842167E-2"/>
              <c:y val="0.106644762929813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0840433407362539"/>
          <c:y val="0.11224516148324545"/>
          <c:w val="0.49257773066828187"/>
          <c:h val="5.27431466899970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800" b="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Figure 2</a:t>
            </a:r>
          </a:p>
          <a:p>
            <a:pPr algn="l">
              <a:defRPr sz="1100"/>
            </a:pPr>
            <a:endParaRPr lang="en-US" sz="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1100"/>
            </a:pPr>
            <a:r>
              <a:rPr lang="en-US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Soybean oil export prices</a:t>
            </a:r>
            <a:endParaRPr lang="en-US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1.8103506292482673E-3"/>
          <c:y val="9.688111902678832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089331444734445E-2"/>
          <c:y val="0.16546394935927128"/>
          <c:w val="0.88460999233779336"/>
          <c:h val="0.57368972260820339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2'!$B$1</c:f>
              <c:strCache>
                <c:ptCount val="1"/>
                <c:pt idx="0">
                  <c:v>Argentina, Up River</c:v>
                </c:pt>
              </c:strCache>
            </c:strRef>
          </c:tx>
          <c:spPr>
            <a:ln w="28575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cat>
            <c:strRef>
              <c:f>'Figure 2'!$A$2:$A$26</c:f>
              <c:strCache>
                <c:ptCount val="25"/>
                <c:pt idx="0">
                  <c:v>Oct. 2020</c:v>
                </c:pt>
                <c:pt idx="1">
                  <c:v>Nov. 2020</c:v>
                </c:pt>
                <c:pt idx="2">
                  <c:v>Dec. 2020</c:v>
                </c:pt>
                <c:pt idx="3">
                  <c:v>Jan. 2021</c:v>
                </c:pt>
                <c:pt idx="4">
                  <c:v>Feb. 2021</c:v>
                </c:pt>
                <c:pt idx="5">
                  <c:v>Mar. 2021</c:v>
                </c:pt>
                <c:pt idx="6">
                  <c:v>Apr. 2021</c:v>
                </c:pt>
                <c:pt idx="7">
                  <c:v>May. 2021</c:v>
                </c:pt>
                <c:pt idx="8">
                  <c:v>Jun. 2021</c:v>
                </c:pt>
                <c:pt idx="9">
                  <c:v>Jul. 2021</c:v>
                </c:pt>
                <c:pt idx="10">
                  <c:v>Aug. 2021</c:v>
                </c:pt>
                <c:pt idx="11">
                  <c:v>Sep. 2021</c:v>
                </c:pt>
                <c:pt idx="12">
                  <c:v>Oct. 2021</c:v>
                </c:pt>
                <c:pt idx="13">
                  <c:v>Nov. 2021</c:v>
                </c:pt>
                <c:pt idx="14">
                  <c:v>Dec. 2021</c:v>
                </c:pt>
                <c:pt idx="15">
                  <c:v>Jan. 2022</c:v>
                </c:pt>
                <c:pt idx="16">
                  <c:v>Feb. 2022</c:v>
                </c:pt>
                <c:pt idx="17">
                  <c:v>Mar. 2022</c:v>
                </c:pt>
                <c:pt idx="18">
                  <c:v>Apr. 2022</c:v>
                </c:pt>
                <c:pt idx="19">
                  <c:v>May. 2022</c:v>
                </c:pt>
                <c:pt idx="20">
                  <c:v>Jun. 2022</c:v>
                </c:pt>
                <c:pt idx="21">
                  <c:v>Jul. 2022</c:v>
                </c:pt>
                <c:pt idx="22">
                  <c:v>Aug. 2022</c:v>
                </c:pt>
                <c:pt idx="23">
                  <c:v>Sep. 2022</c:v>
                </c:pt>
                <c:pt idx="24">
                  <c:v>Oct. 2022</c:v>
                </c:pt>
              </c:strCache>
            </c:strRef>
          </c:cat>
          <c:val>
            <c:numRef>
              <c:f>'Figure 2'!$B$2:$B$26</c:f>
              <c:numCache>
                <c:formatCode>#,##0</c:formatCode>
                <c:ptCount val="25"/>
                <c:pt idx="0">
                  <c:v>821.14</c:v>
                </c:pt>
                <c:pt idx="1">
                  <c:v>943.62</c:v>
                </c:pt>
                <c:pt idx="2">
                  <c:v>1021.04</c:v>
                </c:pt>
                <c:pt idx="3">
                  <c:v>1057.33</c:v>
                </c:pt>
                <c:pt idx="4">
                  <c:v>1077.8499999999999</c:v>
                </c:pt>
                <c:pt idx="5">
                  <c:v>1209.6099999999999</c:v>
                </c:pt>
                <c:pt idx="6">
                  <c:v>1239.95</c:v>
                </c:pt>
                <c:pt idx="7">
                  <c:v>1348.9</c:v>
                </c:pt>
                <c:pt idx="8">
                  <c:v>1190.8599999999999</c:v>
                </c:pt>
                <c:pt idx="9">
                  <c:v>1244.32</c:v>
                </c:pt>
                <c:pt idx="10">
                  <c:v>1301.3599999999999</c:v>
                </c:pt>
                <c:pt idx="11">
                  <c:v>1306.5</c:v>
                </c:pt>
                <c:pt idx="12">
                  <c:v>1397.38</c:v>
                </c:pt>
                <c:pt idx="13">
                  <c:v>1391.73</c:v>
                </c:pt>
                <c:pt idx="14">
                  <c:v>1351</c:v>
                </c:pt>
                <c:pt idx="15">
                  <c:v>1372.43</c:v>
                </c:pt>
                <c:pt idx="16">
                  <c:v>1531.9</c:v>
                </c:pt>
                <c:pt idx="17">
                  <c:v>1759.09</c:v>
                </c:pt>
                <c:pt idx="18">
                  <c:v>1834.9</c:v>
                </c:pt>
                <c:pt idx="19">
                  <c:v>1810.14</c:v>
                </c:pt>
                <c:pt idx="20">
                  <c:v>1596.41</c:v>
                </c:pt>
                <c:pt idx="21">
                  <c:v>1318.48</c:v>
                </c:pt>
                <c:pt idx="22">
                  <c:v>1370.26</c:v>
                </c:pt>
                <c:pt idx="23">
                  <c:v>1200.68</c:v>
                </c:pt>
                <c:pt idx="24">
                  <c:v>1291.9000000000001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13-49B2-A079-D53898D5FE23}"/>
            </c:ext>
          </c:extLst>
        </c:ser>
        <c:ser>
          <c:idx val="2"/>
          <c:order val="1"/>
          <c:tx>
            <c:strRef>
              <c:f>'Figure 2'!$D$1</c:f>
              <c:strCache>
                <c:ptCount val="1"/>
                <c:pt idx="0">
                  <c:v>United States, Gulf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'Figure 2'!$A$2:$A$26</c:f>
              <c:strCache>
                <c:ptCount val="25"/>
                <c:pt idx="0">
                  <c:v>Oct. 2020</c:v>
                </c:pt>
                <c:pt idx="1">
                  <c:v>Nov. 2020</c:v>
                </c:pt>
                <c:pt idx="2">
                  <c:v>Dec. 2020</c:v>
                </c:pt>
                <c:pt idx="3">
                  <c:v>Jan. 2021</c:v>
                </c:pt>
                <c:pt idx="4">
                  <c:v>Feb. 2021</c:v>
                </c:pt>
                <c:pt idx="5">
                  <c:v>Mar. 2021</c:v>
                </c:pt>
                <c:pt idx="6">
                  <c:v>Apr. 2021</c:v>
                </c:pt>
                <c:pt idx="7">
                  <c:v>May. 2021</c:v>
                </c:pt>
                <c:pt idx="8">
                  <c:v>Jun. 2021</c:v>
                </c:pt>
                <c:pt idx="9">
                  <c:v>Jul. 2021</c:v>
                </c:pt>
                <c:pt idx="10">
                  <c:v>Aug. 2021</c:v>
                </c:pt>
                <c:pt idx="11">
                  <c:v>Sep. 2021</c:v>
                </c:pt>
                <c:pt idx="12">
                  <c:v>Oct. 2021</c:v>
                </c:pt>
                <c:pt idx="13">
                  <c:v>Nov. 2021</c:v>
                </c:pt>
                <c:pt idx="14">
                  <c:v>Dec. 2021</c:v>
                </c:pt>
                <c:pt idx="15">
                  <c:v>Jan. 2022</c:v>
                </c:pt>
                <c:pt idx="16">
                  <c:v>Feb. 2022</c:v>
                </c:pt>
                <c:pt idx="17">
                  <c:v>Mar. 2022</c:v>
                </c:pt>
                <c:pt idx="18">
                  <c:v>Apr. 2022</c:v>
                </c:pt>
                <c:pt idx="19">
                  <c:v>May. 2022</c:v>
                </c:pt>
                <c:pt idx="20">
                  <c:v>Jun. 2022</c:v>
                </c:pt>
                <c:pt idx="21">
                  <c:v>Jul. 2022</c:v>
                </c:pt>
                <c:pt idx="22">
                  <c:v>Aug. 2022</c:v>
                </c:pt>
                <c:pt idx="23">
                  <c:v>Sep. 2022</c:v>
                </c:pt>
                <c:pt idx="24">
                  <c:v>Oct. 2022</c:v>
                </c:pt>
              </c:strCache>
            </c:strRef>
          </c:cat>
          <c:val>
            <c:numRef>
              <c:f>'Figure 2'!$D$2:$D$26</c:f>
              <c:numCache>
                <c:formatCode>#,##0</c:formatCode>
                <c:ptCount val="25"/>
                <c:pt idx="0">
                  <c:v>819.5</c:v>
                </c:pt>
                <c:pt idx="1">
                  <c:v>915.19</c:v>
                </c:pt>
                <c:pt idx="2">
                  <c:v>968.22</c:v>
                </c:pt>
                <c:pt idx="3">
                  <c:v>1049.95</c:v>
                </c:pt>
                <c:pt idx="4">
                  <c:v>1118.25</c:v>
                </c:pt>
                <c:pt idx="5">
                  <c:v>1295.0899999999999</c:v>
                </c:pt>
                <c:pt idx="6">
                  <c:v>1444.95</c:v>
                </c:pt>
                <c:pt idx="7">
                  <c:v>1650.71</c:v>
                </c:pt>
                <c:pt idx="8">
                  <c:v>1607.59</c:v>
                </c:pt>
                <c:pt idx="9">
                  <c:v>1553.77</c:v>
                </c:pt>
                <c:pt idx="10">
                  <c:v>1478.18</c:v>
                </c:pt>
                <c:pt idx="11">
                  <c:v>1383.55</c:v>
                </c:pt>
                <c:pt idx="12">
                  <c:v>1464.24</c:v>
                </c:pt>
                <c:pt idx="13">
                  <c:v>1421.95</c:v>
                </c:pt>
                <c:pt idx="14">
                  <c:v>1342.74</c:v>
                </c:pt>
                <c:pt idx="15">
                  <c:v>1457.95</c:v>
                </c:pt>
                <c:pt idx="16">
                  <c:v>1583.85</c:v>
                </c:pt>
                <c:pt idx="17">
                  <c:v>1759.96</c:v>
                </c:pt>
                <c:pt idx="18">
                  <c:v>1875.71</c:v>
                </c:pt>
                <c:pt idx="19">
                  <c:v>1943.23</c:v>
                </c:pt>
                <c:pt idx="20">
                  <c:v>1849.91</c:v>
                </c:pt>
                <c:pt idx="21">
                  <c:v>1561.43</c:v>
                </c:pt>
                <c:pt idx="22">
                  <c:v>1689.17</c:v>
                </c:pt>
                <c:pt idx="23">
                  <c:v>1668.41</c:v>
                </c:pt>
                <c:pt idx="24">
                  <c:v>1684.57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13-49B2-A079-D53898D5F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21751648"/>
        <c:axId val="1821751232"/>
      </c:lineChart>
      <c:catAx>
        <c:axId val="1821751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Date</a:t>
                </a:r>
                <a:endParaRPr lang="en-US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3552500236186931"/>
              <c:y val="0.869808777770445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21751232"/>
        <c:crosses val="autoZero"/>
        <c:auto val="1"/>
        <c:lblAlgn val="ctr"/>
        <c:lblOffset val="100"/>
        <c:noMultiLvlLbl val="1"/>
      </c:catAx>
      <c:valAx>
        <c:axId val="1821751232"/>
        <c:scaling>
          <c:orientation val="minMax"/>
          <c:min val="50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Dollars per metric ton</a:t>
                </a:r>
              </a:p>
            </c:rich>
          </c:tx>
          <c:layout>
            <c:manualLayout>
              <c:xMode val="edge"/>
              <c:yMode val="edge"/>
              <c:x val="0"/>
              <c:y val="9.401709624653110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solidFill>
            <a:sysClr val="window" lastClr="FFFFFF"/>
          </a:solidFill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21751648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554140486227095"/>
          <c:y val="9.9554577736606448E-2"/>
          <c:w val="0.43390814311089904"/>
          <c:h val="6.33956049611445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solidFill>
                  <a:schemeClr val="tx1"/>
                </a:solidFill>
                <a:effectLst/>
              </a:rPr>
              <a:t>Figure 3</a:t>
            </a: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>
                <a:solidFill>
                  <a:sysClr val="windowText" lastClr="000000"/>
                </a:solidFill>
              </a:defRPr>
            </a:pPr>
            <a:endParaRPr lang="en-US" sz="100" b="0" i="0" baseline="0">
              <a:solidFill>
                <a:schemeClr val="tx1"/>
              </a:solidFill>
              <a:effectLst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50" b="1">
                <a:solidFill>
                  <a:sysClr val="windowText" lastClr="000000"/>
                </a:solidFill>
              </a:defRPr>
            </a:pPr>
            <a:r>
              <a:rPr lang="en-US" sz="1100" b="1" i="0" baseline="0">
                <a:effectLst/>
              </a:rPr>
              <a:t>Australian rapeseed production 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6.7196668559530567E-3"/>
          <c:y val="2.39164344934166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5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2992379359735061E-2"/>
          <c:y val="0.21096312672806941"/>
          <c:w val="0.83436990530368726"/>
          <c:h val="0.55225131955414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3'!$B$1</c:f>
              <c:strCache>
                <c:ptCount val="1"/>
                <c:pt idx="0">
                  <c:v>Area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3'!$A$2:$A$12</c:f>
              <c:strCache>
                <c:ptCount val="11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 Oct.*</c:v>
                </c:pt>
                <c:pt idx="10">
                  <c:v>2022/23 Nov.*</c:v>
                </c:pt>
              </c:strCache>
            </c:strRef>
          </c:cat>
          <c:val>
            <c:numRef>
              <c:f>'Figure 3'!$B$2:$B$12</c:f>
              <c:numCache>
                <c:formatCode>_(* #,##0_);_(* \(#,##0\);_(* "-"??_);_(@_)</c:formatCode>
                <c:ptCount val="11"/>
                <c:pt idx="0">
                  <c:v>2721</c:v>
                </c:pt>
                <c:pt idx="1">
                  <c:v>2897</c:v>
                </c:pt>
                <c:pt idx="2">
                  <c:v>2091</c:v>
                </c:pt>
                <c:pt idx="3">
                  <c:v>2681</c:v>
                </c:pt>
                <c:pt idx="4">
                  <c:v>3171</c:v>
                </c:pt>
                <c:pt idx="5">
                  <c:v>2120</c:v>
                </c:pt>
                <c:pt idx="6">
                  <c:v>2034</c:v>
                </c:pt>
                <c:pt idx="7">
                  <c:v>2614</c:v>
                </c:pt>
                <c:pt idx="8">
                  <c:v>3215</c:v>
                </c:pt>
                <c:pt idx="9">
                  <c:v>3600</c:v>
                </c:pt>
                <c:pt idx="10">
                  <c:v>3600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69-42F5-AFD3-7F3C0E68D1BE}"/>
            </c:ext>
          </c:extLst>
        </c:ser>
        <c:ser>
          <c:idx val="1"/>
          <c:order val="1"/>
          <c:tx>
            <c:strRef>
              <c:f>'Figure 3'!$D$1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'Figure 3'!$A$2:$A$12</c:f>
              <c:strCache>
                <c:ptCount val="11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 Oct.*</c:v>
                </c:pt>
                <c:pt idx="10">
                  <c:v>2022/23 Nov.*</c:v>
                </c:pt>
              </c:strCache>
            </c:strRef>
          </c:cat>
          <c:val>
            <c:numRef>
              <c:f>'Figure 3'!$D$2:$D$12</c:f>
              <c:numCache>
                <c:formatCode>_(* #,##0_);_(* \(#,##0\);_(* "-"_);_(@_)</c:formatCode>
                <c:ptCount val="11"/>
                <c:pt idx="0">
                  <c:v>3832</c:v>
                </c:pt>
                <c:pt idx="1">
                  <c:v>3540</c:v>
                </c:pt>
                <c:pt idx="2">
                  <c:v>2775</c:v>
                </c:pt>
                <c:pt idx="3">
                  <c:v>4313</c:v>
                </c:pt>
                <c:pt idx="4">
                  <c:v>3893</c:v>
                </c:pt>
                <c:pt idx="5">
                  <c:v>2366</c:v>
                </c:pt>
                <c:pt idx="6">
                  <c:v>2299</c:v>
                </c:pt>
                <c:pt idx="7">
                  <c:v>4756</c:v>
                </c:pt>
                <c:pt idx="8">
                  <c:v>6762</c:v>
                </c:pt>
                <c:pt idx="9">
                  <c:v>6700</c:v>
                </c:pt>
                <c:pt idx="10">
                  <c:v>7300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69-42F5-AFD3-7F3C0E68D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172272"/>
        <c:axId val="667170632"/>
      </c:barChart>
      <c:lineChart>
        <c:grouping val="standard"/>
        <c:varyColors val="0"/>
        <c:ser>
          <c:idx val="2"/>
          <c:order val="2"/>
          <c:tx>
            <c:strRef>
              <c:f>'Figure 3'!$C$1</c:f>
              <c:strCache>
                <c:ptCount val="1"/>
                <c:pt idx="0">
                  <c:v>Yield</c:v>
                </c:pt>
              </c:strCache>
            </c:strRef>
          </c:tx>
          <c:spPr>
            <a:ln w="412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'Figure 3'!$C$2:$C$12</c:f>
              <c:numCache>
                <c:formatCode>#,##0.00_);\(#,##0.00\)</c:formatCode>
                <c:ptCount val="11"/>
                <c:pt idx="0">
                  <c:v>1.408305769937523</c:v>
                </c:pt>
                <c:pt idx="1">
                  <c:v>1.2219537452537108</c:v>
                </c:pt>
                <c:pt idx="2">
                  <c:v>1.327116212338594</c:v>
                </c:pt>
                <c:pt idx="3">
                  <c:v>1.608728086534875</c:v>
                </c:pt>
                <c:pt idx="4">
                  <c:v>1.2276884263639229</c:v>
                </c:pt>
                <c:pt idx="5">
                  <c:v>1.1160377358490565</c:v>
                </c:pt>
                <c:pt idx="6">
                  <c:v>1.1302851524090463</c:v>
                </c:pt>
                <c:pt idx="7">
                  <c:v>1.819433817903596</c:v>
                </c:pt>
                <c:pt idx="8">
                  <c:v>2.1032659409020216</c:v>
                </c:pt>
                <c:pt idx="9">
                  <c:v>1.8611111111111112</c:v>
                </c:pt>
                <c:pt idx="10">
                  <c:v>2.0277777777777777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69-42F5-AFD3-7F3C0E68D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8626671"/>
        <c:axId val="548629999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Marketing year</a:t>
                </a:r>
                <a:endParaRPr lang="en-US" baseline="0"/>
              </a:p>
            </c:rich>
          </c:tx>
          <c:layout>
            <c:manualLayout>
              <c:xMode val="edge"/>
              <c:yMode val="edge"/>
              <c:x val="0.43592253268171122"/>
              <c:y val="0.862796616111828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168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0"/>
        <c:lblAlgn val="ctr"/>
        <c:lblOffset val="100"/>
        <c:noMultiLvlLbl val="0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Thousand metric tons</a:t>
                </a:r>
              </a:p>
              <a:p>
                <a:pPr algn="l">
                  <a:defRPr/>
                </a:pPr>
                <a:r>
                  <a:rPr lang="en-US" sz="900" baseline="0"/>
                  <a:t>Thousand hectares</a:t>
                </a:r>
              </a:p>
            </c:rich>
          </c:tx>
          <c:layout>
            <c:manualLayout>
              <c:xMode val="edge"/>
              <c:yMode val="edge"/>
              <c:x val="1.050822650575833E-2"/>
              <c:y val="0.112521843622349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_);\(#,##0\)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At val="1"/>
        <c:crossBetween val="between"/>
      </c:valAx>
      <c:valAx>
        <c:axId val="548629999"/>
        <c:scaling>
          <c:orientation val="minMax"/>
          <c:max val="2.25"/>
          <c:min val="0"/>
        </c:scaling>
        <c:delete val="0"/>
        <c:axPos val="r"/>
        <c:numFmt formatCode="#,##0.0_);\(#,##0.0\)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48626671"/>
        <c:crosses val="max"/>
        <c:crossBetween val="between"/>
      </c:valAx>
      <c:catAx>
        <c:axId val="548626671"/>
        <c:scaling>
          <c:orientation val="minMax"/>
        </c:scaling>
        <c:delete val="1"/>
        <c:axPos val="b"/>
        <c:majorTickMark val="out"/>
        <c:minorTickMark val="none"/>
        <c:tickLblPos val="nextTo"/>
        <c:crossAx val="54862999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510338464932085"/>
          <c:y val="0.12108825579620777"/>
          <c:w val="0.5045165747453374"/>
          <c:h val="0.116084577694173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800" b="0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Figure 4</a:t>
            </a:r>
          </a:p>
          <a:p>
            <a:pPr algn="l">
              <a:defRPr sz="1100"/>
            </a:pPr>
            <a:endParaRPr lang="en-US" sz="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 sz="1100"/>
            </a:pPr>
            <a:r>
              <a:rPr lang="en-US" sz="1100" b="1" baseline="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Palm oil stocks and prices in Malaysia </a:t>
            </a:r>
            <a:endParaRPr lang="en-US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1.4357373210094292E-2"/>
          <c:y val="2.652090311940443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089474392623998E-2"/>
          <c:y val="0.21296960245308919"/>
          <c:w val="0.83153298989671698"/>
          <c:h val="0.4831655703458613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'Figure 4'!$C$1</c:f>
              <c:strCache>
                <c:ptCount val="1"/>
                <c:pt idx="0">
                  <c:v> Palm oil stocks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  <a:ln w="19050">
              <a:noFill/>
              <a:prstDash val="dash"/>
            </a:ln>
            <a:effectLst/>
          </c:spPr>
          <c:invertIfNegative val="0"/>
          <c:cat>
            <c:strRef>
              <c:f>'Figure 4'!$A$2:$A$14</c:f>
              <c:strCache>
                <c:ptCount val="13"/>
                <c:pt idx="0">
                  <c:v>Sep. 2021</c:v>
                </c:pt>
                <c:pt idx="1">
                  <c:v>Oct. 2021</c:v>
                </c:pt>
                <c:pt idx="2">
                  <c:v>Nov. 2021</c:v>
                </c:pt>
                <c:pt idx="3">
                  <c:v>Dec. 2021</c:v>
                </c:pt>
                <c:pt idx="4">
                  <c:v>Jan. 2022</c:v>
                </c:pt>
                <c:pt idx="5">
                  <c:v>Feb. 2022</c:v>
                </c:pt>
                <c:pt idx="6">
                  <c:v>Mar. 2022</c:v>
                </c:pt>
                <c:pt idx="7">
                  <c:v>Apr. 2022</c:v>
                </c:pt>
                <c:pt idx="8">
                  <c:v>May. 2022</c:v>
                </c:pt>
                <c:pt idx="9">
                  <c:v>Jun. 2022</c:v>
                </c:pt>
                <c:pt idx="10">
                  <c:v>Jul. 2022</c:v>
                </c:pt>
                <c:pt idx="11">
                  <c:v>Aug. 2022</c:v>
                </c:pt>
                <c:pt idx="12">
                  <c:v>Sep. 2022</c:v>
                </c:pt>
              </c:strCache>
            </c:strRef>
          </c:cat>
          <c:val>
            <c:numRef>
              <c:f>'Figure 4'!$C$2:$C$14</c:f>
              <c:numCache>
                <c:formatCode>#,##0</c:formatCode>
                <c:ptCount val="13"/>
                <c:pt idx="0">
                  <c:v>1756.404</c:v>
                </c:pt>
                <c:pt idx="1">
                  <c:v>1834.568</c:v>
                </c:pt>
                <c:pt idx="2">
                  <c:v>1817.0609999999999</c:v>
                </c:pt>
                <c:pt idx="3">
                  <c:v>1614.5940000000001</c:v>
                </c:pt>
                <c:pt idx="4">
                  <c:v>1551.1510000000001</c:v>
                </c:pt>
                <c:pt idx="5">
                  <c:v>1518.2380000000001</c:v>
                </c:pt>
                <c:pt idx="6">
                  <c:v>1472.8430000000001</c:v>
                </c:pt>
                <c:pt idx="7">
                  <c:v>1642.8130000000001</c:v>
                </c:pt>
                <c:pt idx="8">
                  <c:v>1521.826</c:v>
                </c:pt>
                <c:pt idx="9">
                  <c:v>1645.83</c:v>
                </c:pt>
                <c:pt idx="10">
                  <c:v>1772.8040000000001</c:v>
                </c:pt>
                <c:pt idx="11">
                  <c:v>2094.6669999999999</c:v>
                </c:pt>
                <c:pt idx="12">
                  <c:v>2315.4639999999999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A3-4355-B6D6-82D5EF0B1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6393776"/>
        <c:axId val="1886397520"/>
      </c:barChart>
      <c:lineChart>
        <c:grouping val="standard"/>
        <c:varyColors val="0"/>
        <c:ser>
          <c:idx val="0"/>
          <c:order val="0"/>
          <c:tx>
            <c:strRef>
              <c:f>'Figure 4'!$B$1</c:f>
              <c:strCache>
                <c:ptCount val="1"/>
                <c:pt idx="0">
                  <c:v>RBD Palm oil price, FOB Malaysia </c:v>
                </c:pt>
              </c:strCache>
            </c:strRef>
          </c:tx>
          <c:spPr>
            <a:ln w="38100" cap="rnd">
              <a:solidFill>
                <a:srgbClr val="C0504D"/>
              </a:solidFill>
              <a:round/>
            </a:ln>
            <a:effectLst/>
          </c:spPr>
          <c:marker>
            <c:symbol val="none"/>
          </c:marker>
          <c:cat>
            <c:strRef>
              <c:f>'Figure 4'!$A$2:$A$14</c:f>
              <c:strCache>
                <c:ptCount val="13"/>
                <c:pt idx="0">
                  <c:v>Sep. 2021</c:v>
                </c:pt>
                <c:pt idx="1">
                  <c:v>Oct. 2021</c:v>
                </c:pt>
                <c:pt idx="2">
                  <c:v>Nov. 2021</c:v>
                </c:pt>
                <c:pt idx="3">
                  <c:v>Dec. 2021</c:v>
                </c:pt>
                <c:pt idx="4">
                  <c:v>Jan. 2022</c:v>
                </c:pt>
                <c:pt idx="5">
                  <c:v>Feb. 2022</c:v>
                </c:pt>
                <c:pt idx="6">
                  <c:v>Mar. 2022</c:v>
                </c:pt>
                <c:pt idx="7">
                  <c:v>Apr. 2022</c:v>
                </c:pt>
                <c:pt idx="8">
                  <c:v>May. 2022</c:v>
                </c:pt>
                <c:pt idx="9">
                  <c:v>Jun. 2022</c:v>
                </c:pt>
                <c:pt idx="10">
                  <c:v>Jul. 2022</c:v>
                </c:pt>
                <c:pt idx="11">
                  <c:v>Aug. 2022</c:v>
                </c:pt>
                <c:pt idx="12">
                  <c:v>Sep. 2022</c:v>
                </c:pt>
              </c:strCache>
            </c:strRef>
          </c:cat>
          <c:val>
            <c:numRef>
              <c:f>'Figure 4'!$B$2:$B$14</c:f>
              <c:numCache>
                <c:formatCode>#,##0</c:formatCode>
                <c:ptCount val="13"/>
                <c:pt idx="0">
                  <c:v>1306.5</c:v>
                </c:pt>
                <c:pt idx="1">
                  <c:v>1397.38</c:v>
                </c:pt>
                <c:pt idx="2">
                  <c:v>1391.73</c:v>
                </c:pt>
                <c:pt idx="3">
                  <c:v>1351</c:v>
                </c:pt>
                <c:pt idx="4">
                  <c:v>1372.43</c:v>
                </c:pt>
                <c:pt idx="5">
                  <c:v>1531.9</c:v>
                </c:pt>
                <c:pt idx="6">
                  <c:v>1759.09</c:v>
                </c:pt>
                <c:pt idx="7">
                  <c:v>1834.9</c:v>
                </c:pt>
                <c:pt idx="8">
                  <c:v>1810.14</c:v>
                </c:pt>
                <c:pt idx="9">
                  <c:v>1596.41</c:v>
                </c:pt>
                <c:pt idx="10">
                  <c:v>1318.48</c:v>
                </c:pt>
                <c:pt idx="11">
                  <c:v>1370.26</c:v>
                </c:pt>
                <c:pt idx="12">
                  <c:v>1200.68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A3-4355-B6D6-82D5EF0B1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1751648"/>
        <c:axId val="1821751232"/>
      </c:lineChart>
      <c:catAx>
        <c:axId val="1821751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Date</a:t>
                </a:r>
                <a:endParaRPr lang="en-US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6849316912309036"/>
              <c:y val="0.821478565179352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solidFill>
            <a:sysClr val="window" lastClr="FFFFFF"/>
          </a:solidFill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21751232"/>
        <c:crosses val="autoZero"/>
        <c:auto val="1"/>
        <c:lblAlgn val="ctr"/>
        <c:lblOffset val="100"/>
        <c:noMultiLvlLbl val="1"/>
      </c:catAx>
      <c:valAx>
        <c:axId val="1821751232"/>
        <c:scaling>
          <c:orientation val="minMax"/>
          <c:min val="50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Dollars per ton</a:t>
                </a:r>
              </a:p>
            </c:rich>
          </c:tx>
          <c:layout>
            <c:manualLayout>
              <c:xMode val="edge"/>
              <c:yMode val="edge"/>
              <c:x val="0"/>
              <c:y val="0.137082343873682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solidFill>
            <a:sysClr val="window" lastClr="FFFFFF"/>
          </a:solidFill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21751648"/>
        <c:crosses val="autoZero"/>
        <c:crossBetween val="between"/>
        <c:majorUnit val="200"/>
      </c:valAx>
      <c:valAx>
        <c:axId val="1886397520"/>
        <c:scaling>
          <c:orientation val="minMax"/>
        </c:scaling>
        <c:delete val="0"/>
        <c:axPos val="r"/>
        <c:numFmt formatCode="#,##0" sourceLinked="1"/>
        <c:majorTickMark val="none"/>
        <c:minorTickMark val="none"/>
        <c:tickLblPos val="nextTo"/>
        <c:spPr>
          <a:noFill/>
          <a:ln>
            <a:solidFill>
              <a:srgbClr val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886393776"/>
        <c:crosses val="max"/>
        <c:crossBetween val="between"/>
      </c:valAx>
      <c:catAx>
        <c:axId val="1886393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86397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7176139040312272"/>
          <c:y val="9.2520986959963317E-2"/>
          <c:w val="0.61299424900202881"/>
          <c:h val="7.97085260175811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508633</xdr:colOff>
      <xdr:row>0</xdr:row>
      <xdr:rowOff>103504</xdr:rowOff>
    </xdr:from>
    <xdr:to>
      <xdr:col>13</xdr:col>
      <xdr:colOff>556258</xdr:colOff>
      <xdr:row>23</xdr:row>
      <xdr:rowOff>52069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364C13-1FAB-4433-9036-675F7B7791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0.89677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298826"/>
          <a:ext cx="5943600" cy="3797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Research Service using data from</a:t>
          </a: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 USDA,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National Agricultural Statistics Service, 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Crop Progress, </a:t>
          </a:r>
          <a:r>
            <a:rPr lang="en-US" sz="900" i="0" baseline="0">
              <a:latin typeface="Arial" panose="020B0604020202020204" pitchFamily="34" charset="0"/>
              <a:cs typeface="Arial" panose="020B0604020202020204" pitchFamily="34" charset="0"/>
            </a:rPr>
            <a:t>November 7, 2022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31750</xdr:colOff>
      <xdr:row>1</xdr:row>
      <xdr:rowOff>42332</xdr:rowOff>
    </xdr:from>
    <xdr:to>
      <xdr:col>14</xdr:col>
      <xdr:colOff>542290</xdr:colOff>
      <xdr:row>22</xdr:row>
      <xdr:rowOff>150282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19A0C37A-E64D-42A5-B27A-BA0552374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0.00254</cdr:x>
      <cdr:y>0.91652</cdr:y>
    </cdr:from>
    <cdr:to>
      <cdr:x>0.99393</cdr:x>
      <cdr:y>0.99321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8F93A74A-6ABF-4BFB-9669-1E205E5DACBB}"/>
            </a:ext>
          </a:extLst>
        </cdr:cNvPr>
        <cdr:cNvSpPr/>
      </cdr:nvSpPr>
      <cdr:spPr>
        <a:xfrm xmlns:a="http://schemas.openxmlformats.org/drawingml/2006/main">
          <a:off x="15110" y="3513666"/>
          <a:ext cx="5897460" cy="2940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9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USDA, Economic Research Service using data International Grains Council, November 2022</a:t>
          </a:r>
          <a:r>
            <a:rPr lang="en-US" sz="9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9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data.</a:t>
          </a:r>
          <a:endParaRPr lang="en-US" sz="9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0</xdr:row>
      <xdr:rowOff>38099</xdr:rowOff>
    </xdr:from>
    <xdr:to>
      <xdr:col>14</xdr:col>
      <xdr:colOff>295275</xdr:colOff>
      <xdr:row>21</xdr:row>
      <xdr:rowOff>1904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E999A1-B212-4235-A1EC-E16AE45E01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0.86957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162300"/>
          <a:ext cx="6709410" cy="4743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Note: Asterisk (*) denotes forecast.</a:t>
          </a: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USDA, Economic 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Research</a:t>
          </a: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 Service using data from USDA, Foreign Agricultural Service, </a:t>
          </a:r>
          <a:r>
            <a:rPr lang="en-US" sz="900" i="1">
              <a:latin typeface="Arial" panose="020B0604020202020204" pitchFamily="34" charset="0"/>
              <a:cs typeface="Arial" panose="020B0604020202020204" pitchFamily="34" charset="0"/>
            </a:rPr>
            <a:t>Production,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 Supply, and Distribution.</a:t>
          </a:r>
          <a:endParaRPr lang="en-US" sz="9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0.76763</cdr:x>
      <cdr:y>0.13096</cdr:y>
    </cdr:from>
    <cdr:to>
      <cdr:x>1</cdr:x>
      <cdr:y>0.19345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ACDE19E9-2814-4FAA-BB29-D9B4C68256A8}"/>
            </a:ext>
          </a:extLst>
        </cdr:cNvPr>
        <cdr:cNvSpPr/>
      </cdr:nvSpPr>
      <cdr:spPr>
        <a:xfrm xmlns:a="http://schemas.openxmlformats.org/drawingml/2006/main">
          <a:off x="4562475" y="502944"/>
          <a:ext cx="1381125" cy="2400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bg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9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Metric tons</a:t>
          </a:r>
          <a:r>
            <a:rPr lang="en-US" sz="9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per hectare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482810</xdr:colOff>
      <xdr:row>1</xdr:row>
      <xdr:rowOff>1</xdr:rowOff>
    </xdr:from>
    <xdr:to>
      <xdr:col>13</xdr:col>
      <xdr:colOff>288077</xdr:colOff>
      <xdr:row>22</xdr:row>
      <xdr:rowOff>62231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E3944AA-CD35-4FA8-87A4-248EAE61BF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0.00254</cdr:x>
      <cdr:y>0.85428</cdr:y>
    </cdr:from>
    <cdr:to>
      <cdr:x>0.99393</cdr:x>
      <cdr:y>0.9939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8F93A74A-6ABF-4BFB-9669-1E205E5DACBB}"/>
            </a:ext>
          </a:extLst>
        </cdr:cNvPr>
        <cdr:cNvSpPr/>
      </cdr:nvSpPr>
      <cdr:spPr>
        <a:xfrm xmlns:a="http://schemas.openxmlformats.org/drawingml/2006/main">
          <a:off x="15097" y="3280832"/>
          <a:ext cx="5892425" cy="5362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sz="9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RBD</a:t>
          </a:r>
          <a:r>
            <a:rPr lang="en-US" sz="9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Palm Oil: Refined Bleached Deodorized palm oil. FOB: Free On Board, Malaysia.</a:t>
          </a:r>
          <a:endParaRPr lang="en-US" sz="9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USDA, Economic Research Service using data from Malaysian</a:t>
          </a:r>
          <a:r>
            <a:rPr lang="en-US" sz="9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Palm Oil Board (MPOB) and USDA, Foreign Agricultrual Service</a:t>
          </a:r>
          <a:r>
            <a:rPr lang="en-US" sz="900" i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Oilseeds: World Markets and Trade</a:t>
          </a:r>
          <a:r>
            <a:rPr lang="en-US" sz="9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</a:t>
          </a:r>
          <a:endParaRPr lang="en-US"/>
        </a:p>
      </cdr:txBody>
    </cdr:sp>
  </cdr:relSizeAnchor>
  <cdr:relSizeAnchor xmlns:cdr="http://schemas.openxmlformats.org/drawingml/2006/chartDrawing">
    <cdr:from>
      <cdr:x>0.80356</cdr:x>
      <cdr:y>0.14431</cdr:y>
    </cdr:from>
    <cdr:to>
      <cdr:x>1</cdr:x>
      <cdr:y>0.19919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00BE6087-3262-4A1E-9312-CD70675CF67B}"/>
            </a:ext>
          </a:extLst>
        </cdr:cNvPr>
        <cdr:cNvSpPr/>
      </cdr:nvSpPr>
      <cdr:spPr bwMode="auto">
        <a:xfrm xmlns:a="http://schemas.openxmlformats.org/drawingml/2006/main">
          <a:off x="4952790" y="601133"/>
          <a:ext cx="1210733" cy="22860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Thousand metric tons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indexed="12"/>
  </sheetPr>
  <dimension ref="A1:C16"/>
  <sheetViews>
    <sheetView tabSelected="1" workbookViewId="0"/>
  </sheetViews>
  <sheetFormatPr defaultColWidth="9.6640625" defaultRowHeight="13.8"/>
  <cols>
    <col min="1" max="1" width="166.88671875" style="13" customWidth="1"/>
    <col min="2" max="16384" width="9.6640625" style="1"/>
  </cols>
  <sheetData>
    <row r="1" spans="1:3">
      <c r="A1" s="8" t="s">
        <v>0</v>
      </c>
      <c r="B1" s="117"/>
      <c r="C1" s="117"/>
    </row>
    <row r="2" spans="1:3" s="2" customFormat="1">
      <c r="A2" s="9"/>
    </row>
    <row r="3" spans="1:3">
      <c r="A3" s="11" t="s">
        <v>1</v>
      </c>
      <c r="B3" s="3"/>
      <c r="C3" s="2"/>
    </row>
    <row r="4" spans="1:3">
      <c r="A4" s="11" t="s">
        <v>2</v>
      </c>
      <c r="B4" s="4"/>
      <c r="C4" s="117"/>
    </row>
    <row r="5" spans="1:3">
      <c r="A5" s="11" t="s">
        <v>3</v>
      </c>
      <c r="B5" s="4"/>
      <c r="C5" s="117"/>
    </row>
    <row r="6" spans="1:3">
      <c r="A6" s="11" t="s">
        <v>4</v>
      </c>
      <c r="B6" s="4"/>
      <c r="C6" s="117"/>
    </row>
    <row r="7" spans="1:3">
      <c r="A7" s="11" t="s">
        <v>5</v>
      </c>
      <c r="B7" s="4"/>
      <c r="C7" s="117"/>
    </row>
    <row r="8" spans="1:3">
      <c r="A8" s="11" t="s">
        <v>6</v>
      </c>
      <c r="B8" s="4"/>
      <c r="C8" s="117"/>
    </row>
    <row r="9" spans="1:3">
      <c r="A9" s="11" t="s">
        <v>7</v>
      </c>
      <c r="B9" s="4"/>
      <c r="C9" s="117"/>
    </row>
    <row r="10" spans="1:3">
      <c r="A10" s="11" t="s">
        <v>8</v>
      </c>
      <c r="B10" s="4"/>
      <c r="C10" s="117"/>
    </row>
    <row r="11" spans="1:3">
      <c r="A11" s="11" t="s">
        <v>9</v>
      </c>
      <c r="B11" s="4"/>
      <c r="C11" s="117"/>
    </row>
    <row r="12" spans="1:3">
      <c r="A12" s="11" t="s">
        <v>10</v>
      </c>
      <c r="B12" s="4"/>
      <c r="C12" s="117"/>
    </row>
    <row r="13" spans="1:3">
      <c r="A13" s="12" t="s">
        <v>11</v>
      </c>
      <c r="B13" s="4"/>
      <c r="C13" s="117"/>
    </row>
    <row r="14" spans="1:3" ht="13.2">
      <c r="A14" s="117"/>
      <c r="B14" s="117"/>
      <c r="C14" s="117"/>
    </row>
    <row r="15" spans="1:3">
      <c r="A15" s="8" t="s">
        <v>12</v>
      </c>
      <c r="B15" s="118"/>
      <c r="C15" s="117"/>
    </row>
    <row r="16" spans="1:3">
      <c r="A16" s="10">
        <v>44879</v>
      </c>
      <c r="B16" s="117"/>
      <c r="C16" s="117"/>
    </row>
  </sheetData>
  <hyperlinks>
    <hyperlink ref="A3" location="'Table 1'!A1" display="Table 1--Soybeans:  Annual U.S. supply and disappearance" xr:uid="{00000000-0004-0000-0000-000000000000}"/>
    <hyperlink ref="A4" location="'Table 2'!A1" display="Table 2--Soybean meal:  U.S. supply and disappearance" xr:uid="{00000000-0004-0000-0000-000001000000}"/>
    <hyperlink ref="A5" location="'Table 3'!A1" display="Table 3--Soybean oil:  U.S. supply and disappearance" xr:uid="{00000000-0004-0000-0000-000002000000}"/>
    <hyperlink ref="A6" location="'Tables 4-7'!A1" display="Table 4--Cottonseed:  U.S. supply and disappearance" xr:uid="{00000000-0004-0000-0000-000003000000}"/>
    <hyperlink ref="A7" location="'Tables 4-7'!A1" display="Table 5--Cottonseed meal:  U.S. supply and disappearance" xr:uid="{00000000-0004-0000-0000-000004000000}"/>
    <hyperlink ref="A8" location="'Tables 4-7'!A1" display="Table 6--Cottonseed oil:  U.S. supply and disappearance" xr:uid="{00000000-0004-0000-0000-000005000000}"/>
    <hyperlink ref="A9" location="'Tables 4-7'!A1" display="Table 7--Peanuts:  U.S. supply and disappearance" xr:uid="{00000000-0004-0000-0000-000006000000}"/>
    <hyperlink ref="A10" location="'Table 8'!A1" display="Table 8--Oilseed prices received by U.S. farmers" xr:uid="{00000000-0004-0000-0000-000007000000}"/>
    <hyperlink ref="A11" location="'Table 9'!A1" display="Table 9--U.S. vegetable oil and fats prices" xr:uid="{00000000-0004-0000-0000-000008000000}"/>
    <hyperlink ref="A12" location="'Table 10'!A1" display="Table 10--U.S. oilseed meal prices " xr:uid="{00000000-0004-0000-0000-000009000000}"/>
  </hyperlink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50A3D-6F5C-4CA1-89A2-E9D74DFDCE68}">
  <dimension ref="A1:D26"/>
  <sheetViews>
    <sheetView workbookViewId="0">
      <selection activeCell="L28" sqref="L28"/>
    </sheetView>
  </sheetViews>
  <sheetFormatPr defaultRowHeight="13.8"/>
  <cols>
    <col min="1" max="1" width="10.6640625" style="128" bestFit="1" customWidth="1"/>
    <col min="2" max="2" width="11.33203125" style="128" customWidth="1"/>
    <col min="3" max="3" width="14.88671875" style="128" customWidth="1"/>
    <col min="4" max="4" width="13.88671875" style="128" bestFit="1" customWidth="1"/>
    <col min="5" max="16384" width="8.88671875" style="128"/>
  </cols>
  <sheetData>
    <row r="1" spans="1:4" ht="55.2">
      <c r="A1" s="127" t="s">
        <v>157</v>
      </c>
      <c r="B1" s="166" t="s">
        <v>189</v>
      </c>
      <c r="C1" s="166" t="s">
        <v>187</v>
      </c>
      <c r="D1" s="166" t="s">
        <v>190</v>
      </c>
    </row>
    <row r="2" spans="1:4">
      <c r="A2" s="128" t="s">
        <v>158</v>
      </c>
      <c r="B2" s="135">
        <v>821.14</v>
      </c>
      <c r="C2" s="135">
        <f t="shared" ref="C2:C26" si="0">B2*1.191</f>
        <v>977.97774000000004</v>
      </c>
      <c r="D2" s="135">
        <v>819.5</v>
      </c>
    </row>
    <row r="3" spans="1:4">
      <c r="A3" s="128" t="s">
        <v>159</v>
      </c>
      <c r="B3" s="135">
        <v>943.62</v>
      </c>
      <c r="C3" s="135">
        <f t="shared" si="0"/>
        <v>1123.85142</v>
      </c>
      <c r="D3" s="135">
        <v>915.19</v>
      </c>
    </row>
    <row r="4" spans="1:4">
      <c r="A4" s="128" t="s">
        <v>160</v>
      </c>
      <c r="B4" s="135">
        <v>1021.04</v>
      </c>
      <c r="C4" s="135">
        <f t="shared" si="0"/>
        <v>1216.05864</v>
      </c>
      <c r="D4" s="135">
        <v>968.22</v>
      </c>
    </row>
    <row r="5" spans="1:4">
      <c r="A5" s="128" t="s">
        <v>161</v>
      </c>
      <c r="B5" s="135">
        <v>1057.33</v>
      </c>
      <c r="C5" s="135">
        <f t="shared" si="0"/>
        <v>1259.2800299999999</v>
      </c>
      <c r="D5" s="135">
        <v>1049.95</v>
      </c>
    </row>
    <row r="6" spans="1:4">
      <c r="A6" s="128" t="s">
        <v>162</v>
      </c>
      <c r="B6" s="135">
        <v>1077.8499999999999</v>
      </c>
      <c r="C6" s="135">
        <f t="shared" si="0"/>
        <v>1283.7193499999998</v>
      </c>
      <c r="D6" s="135">
        <v>1118.25</v>
      </c>
    </row>
    <row r="7" spans="1:4">
      <c r="A7" s="128" t="s">
        <v>163</v>
      </c>
      <c r="B7" s="135">
        <v>1209.6099999999999</v>
      </c>
      <c r="C7" s="135">
        <f t="shared" si="0"/>
        <v>1440.6455100000001</v>
      </c>
      <c r="D7" s="135">
        <v>1295.0899999999999</v>
      </c>
    </row>
    <row r="8" spans="1:4">
      <c r="A8" s="128" t="s">
        <v>164</v>
      </c>
      <c r="B8" s="135">
        <v>1239.95</v>
      </c>
      <c r="C8" s="135">
        <f t="shared" si="0"/>
        <v>1476.7804500000002</v>
      </c>
      <c r="D8" s="135">
        <v>1444.95</v>
      </c>
    </row>
    <row r="9" spans="1:4">
      <c r="A9" s="128" t="s">
        <v>165</v>
      </c>
      <c r="B9" s="135">
        <v>1348.9</v>
      </c>
      <c r="C9" s="135">
        <f t="shared" si="0"/>
        <v>1606.5399000000002</v>
      </c>
      <c r="D9" s="135">
        <v>1650.71</v>
      </c>
    </row>
    <row r="10" spans="1:4">
      <c r="A10" s="128" t="s">
        <v>166</v>
      </c>
      <c r="B10" s="135">
        <v>1190.8599999999999</v>
      </c>
      <c r="C10" s="135">
        <f t="shared" si="0"/>
        <v>1418.3142599999999</v>
      </c>
      <c r="D10" s="135">
        <v>1607.59</v>
      </c>
    </row>
    <row r="11" spans="1:4">
      <c r="A11" s="128" t="s">
        <v>167</v>
      </c>
      <c r="B11" s="135">
        <v>1244.32</v>
      </c>
      <c r="C11" s="135">
        <f t="shared" si="0"/>
        <v>1481.9851200000001</v>
      </c>
      <c r="D11" s="135">
        <v>1553.77</v>
      </c>
    </row>
    <row r="12" spans="1:4">
      <c r="A12" s="128" t="s">
        <v>168</v>
      </c>
      <c r="B12" s="135">
        <v>1301.3599999999999</v>
      </c>
      <c r="C12" s="135">
        <f t="shared" si="0"/>
        <v>1549.91976</v>
      </c>
      <c r="D12" s="135">
        <v>1478.18</v>
      </c>
    </row>
    <row r="13" spans="1:4">
      <c r="A13" s="128" t="s">
        <v>169</v>
      </c>
      <c r="B13" s="135">
        <v>1306.5</v>
      </c>
      <c r="C13" s="135">
        <f t="shared" si="0"/>
        <v>1556.0415</v>
      </c>
      <c r="D13" s="135">
        <v>1383.55</v>
      </c>
    </row>
    <row r="14" spans="1:4">
      <c r="A14" s="128" t="s">
        <v>170</v>
      </c>
      <c r="B14" s="135">
        <v>1397.38</v>
      </c>
      <c r="C14" s="135">
        <f t="shared" si="0"/>
        <v>1664.2795800000001</v>
      </c>
      <c r="D14" s="135">
        <v>1464.24</v>
      </c>
    </row>
    <row r="15" spans="1:4">
      <c r="A15" s="128" t="s">
        <v>171</v>
      </c>
      <c r="B15" s="135">
        <v>1391.73</v>
      </c>
      <c r="C15" s="135">
        <f t="shared" si="0"/>
        <v>1657.55043</v>
      </c>
      <c r="D15" s="135">
        <v>1421.95</v>
      </c>
    </row>
    <row r="16" spans="1:4">
      <c r="A16" s="128" t="s">
        <v>172</v>
      </c>
      <c r="B16" s="135">
        <v>1351</v>
      </c>
      <c r="C16" s="135">
        <f t="shared" si="0"/>
        <v>1609.0410000000002</v>
      </c>
      <c r="D16" s="135">
        <v>1342.74</v>
      </c>
    </row>
    <row r="17" spans="1:4">
      <c r="A17" s="128" t="s">
        <v>173</v>
      </c>
      <c r="B17" s="135">
        <v>1372.43</v>
      </c>
      <c r="C17" s="135">
        <f t="shared" si="0"/>
        <v>1634.5641300000002</v>
      </c>
      <c r="D17" s="135">
        <v>1457.95</v>
      </c>
    </row>
    <row r="18" spans="1:4">
      <c r="A18" s="128" t="s">
        <v>174</v>
      </c>
      <c r="B18" s="135">
        <v>1531.9</v>
      </c>
      <c r="C18" s="135">
        <f t="shared" si="0"/>
        <v>1824.4929000000002</v>
      </c>
      <c r="D18" s="135">
        <v>1583.85</v>
      </c>
    </row>
    <row r="19" spans="1:4">
      <c r="A19" s="128" t="s">
        <v>175</v>
      </c>
      <c r="B19" s="135">
        <v>1759.09</v>
      </c>
      <c r="C19" s="135">
        <f t="shared" si="0"/>
        <v>2095.0761900000002</v>
      </c>
      <c r="D19" s="135">
        <v>1759.96</v>
      </c>
    </row>
    <row r="20" spans="1:4">
      <c r="A20" s="128" t="s">
        <v>176</v>
      </c>
      <c r="B20" s="135">
        <v>1834.9</v>
      </c>
      <c r="C20" s="135">
        <f t="shared" si="0"/>
        <v>2185.3659000000002</v>
      </c>
      <c r="D20" s="135">
        <v>1875.71</v>
      </c>
    </row>
    <row r="21" spans="1:4">
      <c r="A21" s="128" t="s">
        <v>177</v>
      </c>
      <c r="B21" s="135">
        <v>1810.14</v>
      </c>
      <c r="C21" s="135">
        <f t="shared" si="0"/>
        <v>2155.8767400000002</v>
      </c>
      <c r="D21" s="135">
        <v>1943.23</v>
      </c>
    </row>
    <row r="22" spans="1:4">
      <c r="A22" s="128" t="s">
        <v>178</v>
      </c>
      <c r="B22" s="135">
        <v>1596.41</v>
      </c>
      <c r="C22" s="135">
        <f t="shared" si="0"/>
        <v>1901.3243100000002</v>
      </c>
      <c r="D22" s="135">
        <v>1849.91</v>
      </c>
    </row>
    <row r="23" spans="1:4">
      <c r="A23" s="128" t="s">
        <v>179</v>
      </c>
      <c r="B23" s="135">
        <v>1318.48</v>
      </c>
      <c r="C23" s="135">
        <f t="shared" si="0"/>
        <v>1570.3096800000001</v>
      </c>
      <c r="D23" s="135">
        <v>1561.43</v>
      </c>
    </row>
    <row r="24" spans="1:4">
      <c r="A24" s="128" t="s">
        <v>180</v>
      </c>
      <c r="B24" s="135">
        <v>1370.26</v>
      </c>
      <c r="C24" s="135">
        <f t="shared" si="0"/>
        <v>1631.97966</v>
      </c>
      <c r="D24" s="135">
        <v>1689.17</v>
      </c>
    </row>
    <row r="25" spans="1:4">
      <c r="A25" s="128" t="s">
        <v>181</v>
      </c>
      <c r="B25" s="135">
        <v>1200.68</v>
      </c>
      <c r="C25" s="135">
        <f t="shared" si="0"/>
        <v>1430.0098800000001</v>
      </c>
      <c r="D25" s="135">
        <v>1668.41</v>
      </c>
    </row>
    <row r="26" spans="1:4">
      <c r="A26" s="128" t="s">
        <v>182</v>
      </c>
      <c r="B26" s="135">
        <v>1291.9000000000001</v>
      </c>
      <c r="C26" s="135">
        <f t="shared" si="0"/>
        <v>1538.6529000000003</v>
      </c>
      <c r="D26" s="135">
        <v>1684.57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195B7-BE89-4B31-9A04-A53561125682}">
  <dimension ref="A1:D49"/>
  <sheetViews>
    <sheetView zoomScaleNormal="100" workbookViewId="0">
      <selection activeCell="B4" sqref="B4"/>
    </sheetView>
  </sheetViews>
  <sheetFormatPr defaultColWidth="8.88671875" defaultRowHeight="13.2"/>
  <cols>
    <col min="1" max="1" width="12.33203125" style="146" customWidth="1"/>
    <col min="2" max="2" width="14.88671875" style="146" customWidth="1"/>
    <col min="3" max="3" width="9.44140625" style="146" bestFit="1" customWidth="1"/>
    <col min="4" max="4" width="23.109375" style="146" customWidth="1"/>
    <col min="5" max="16384" width="8.88671875" style="146"/>
  </cols>
  <sheetData>
    <row r="1" spans="1:4" ht="26.4">
      <c r="A1" s="144" t="s">
        <v>155</v>
      </c>
      <c r="B1" s="145" t="s">
        <v>13</v>
      </c>
      <c r="C1" s="145" t="s">
        <v>14</v>
      </c>
      <c r="D1" s="145" t="s">
        <v>26</v>
      </c>
    </row>
    <row r="2" spans="1:4" ht="14.4">
      <c r="A2" s="147" t="s">
        <v>111</v>
      </c>
      <c r="B2" s="148">
        <v>2721</v>
      </c>
      <c r="C2" s="149">
        <f>D2/B2</f>
        <v>1.408305769937523</v>
      </c>
      <c r="D2" s="150">
        <v>3832</v>
      </c>
    </row>
    <row r="3" spans="1:4" ht="14.4">
      <c r="A3" s="147" t="s">
        <v>112</v>
      </c>
      <c r="B3" s="148">
        <v>2897</v>
      </c>
      <c r="C3" s="149">
        <f t="shared" ref="C3:C12" si="0">D3/B3</f>
        <v>1.2219537452537108</v>
      </c>
      <c r="D3" s="150">
        <v>3540</v>
      </c>
    </row>
    <row r="4" spans="1:4" ht="14.4">
      <c r="A4" s="147" t="s">
        <v>113</v>
      </c>
      <c r="B4" s="148">
        <v>2091</v>
      </c>
      <c r="C4" s="149">
        <f t="shared" si="0"/>
        <v>1.327116212338594</v>
      </c>
      <c r="D4" s="150">
        <v>2775</v>
      </c>
    </row>
    <row r="5" spans="1:4" ht="14.4">
      <c r="A5" s="147" t="s">
        <v>114</v>
      </c>
      <c r="B5" s="148">
        <v>2681</v>
      </c>
      <c r="C5" s="149">
        <f t="shared" si="0"/>
        <v>1.608728086534875</v>
      </c>
      <c r="D5" s="150">
        <v>4313</v>
      </c>
    </row>
    <row r="6" spans="1:4" ht="14.4">
      <c r="A6" s="147" t="s">
        <v>115</v>
      </c>
      <c r="B6" s="148">
        <v>3171</v>
      </c>
      <c r="C6" s="149">
        <f t="shared" si="0"/>
        <v>1.2276884263639229</v>
      </c>
      <c r="D6" s="150">
        <v>3893</v>
      </c>
    </row>
    <row r="7" spans="1:4" ht="14.4">
      <c r="A7" s="147" t="s">
        <v>116</v>
      </c>
      <c r="B7" s="148">
        <v>2120</v>
      </c>
      <c r="C7" s="149">
        <f t="shared" si="0"/>
        <v>1.1160377358490565</v>
      </c>
      <c r="D7" s="150">
        <v>2366</v>
      </c>
    </row>
    <row r="8" spans="1:4" ht="14.4">
      <c r="A8" s="147" t="s">
        <v>117</v>
      </c>
      <c r="B8" s="148">
        <v>2034</v>
      </c>
      <c r="C8" s="149">
        <f t="shared" si="0"/>
        <v>1.1302851524090463</v>
      </c>
      <c r="D8" s="150">
        <v>2299</v>
      </c>
    </row>
    <row r="9" spans="1:4" ht="14.4">
      <c r="A9" s="147" t="s">
        <v>34</v>
      </c>
      <c r="B9" s="148">
        <v>2614</v>
      </c>
      <c r="C9" s="149">
        <f t="shared" si="0"/>
        <v>1.819433817903596</v>
      </c>
      <c r="D9" s="150">
        <v>4756</v>
      </c>
    </row>
    <row r="10" spans="1:4" ht="14.4">
      <c r="A10" s="147" t="s">
        <v>53</v>
      </c>
      <c r="B10" s="148">
        <v>3215</v>
      </c>
      <c r="C10" s="149">
        <f t="shared" si="0"/>
        <v>2.1032659409020216</v>
      </c>
      <c r="D10" s="150">
        <v>6762</v>
      </c>
    </row>
    <row r="11" spans="1:4" ht="14.4">
      <c r="A11" s="147" t="s">
        <v>191</v>
      </c>
      <c r="B11" s="148">
        <v>3600</v>
      </c>
      <c r="C11" s="149">
        <f t="shared" si="0"/>
        <v>1.8611111111111112</v>
      </c>
      <c r="D11" s="150">
        <v>6700</v>
      </c>
    </row>
    <row r="12" spans="1:4" ht="14.4">
      <c r="A12" s="147" t="s">
        <v>192</v>
      </c>
      <c r="B12" s="148">
        <v>3600</v>
      </c>
      <c r="C12" s="149">
        <f t="shared" si="0"/>
        <v>2.0277777777777777</v>
      </c>
      <c r="D12" s="150">
        <v>7300</v>
      </c>
    </row>
    <row r="13" spans="1:4">
      <c r="A13" s="152"/>
      <c r="B13" s="153"/>
    </row>
    <row r="14" spans="1:4">
      <c r="A14" s="152"/>
      <c r="B14" s="154"/>
    </row>
    <row r="15" spans="1:4">
      <c r="A15" s="152"/>
      <c r="B15" s="165"/>
      <c r="C15" s="162"/>
    </row>
    <row r="16" spans="1:4">
      <c r="B16" s="154"/>
      <c r="C16" s="163"/>
    </row>
    <row r="17" spans="2:3">
      <c r="B17" s="154"/>
      <c r="C17" s="164"/>
    </row>
    <row r="18" spans="2:3">
      <c r="B18" s="154"/>
    </row>
    <row r="19" spans="2:3">
      <c r="B19" s="154"/>
      <c r="C19" s="162"/>
    </row>
    <row r="20" spans="2:3">
      <c r="B20" s="154"/>
      <c r="C20" s="163"/>
    </row>
    <row r="21" spans="2:3">
      <c r="B21" s="154"/>
    </row>
    <row r="22" spans="2:3">
      <c r="B22" s="154"/>
    </row>
    <row r="23" spans="2:3">
      <c r="B23" s="151"/>
    </row>
    <row r="24" spans="2:3">
      <c r="B24" s="151"/>
    </row>
    <row r="25" spans="2:3">
      <c r="B25" s="151"/>
    </row>
    <row r="26" spans="2:3">
      <c r="B26" s="151"/>
    </row>
    <row r="27" spans="2:3">
      <c r="B27" s="151"/>
    </row>
    <row r="28" spans="2:3">
      <c r="B28" s="151"/>
    </row>
    <row r="29" spans="2:3">
      <c r="B29" s="151"/>
    </row>
    <row r="30" spans="2:3">
      <c r="B30" s="151"/>
    </row>
    <row r="31" spans="2:3">
      <c r="B31" s="151"/>
    </row>
    <row r="32" spans="2:3">
      <c r="B32" s="151"/>
    </row>
    <row r="33" spans="2:2">
      <c r="B33" s="151"/>
    </row>
    <row r="34" spans="2:2">
      <c r="B34" s="151"/>
    </row>
    <row r="35" spans="2:2">
      <c r="B35" s="151"/>
    </row>
    <row r="36" spans="2:2">
      <c r="B36" s="151"/>
    </row>
    <row r="37" spans="2:2">
      <c r="B37" s="151"/>
    </row>
    <row r="38" spans="2:2">
      <c r="B38" s="151"/>
    </row>
    <row r="39" spans="2:2">
      <c r="B39" s="151"/>
    </row>
    <row r="40" spans="2:2">
      <c r="B40" s="151"/>
    </row>
    <row r="41" spans="2:2">
      <c r="B41" s="151"/>
    </row>
    <row r="42" spans="2:2">
      <c r="B42" s="151"/>
    </row>
    <row r="43" spans="2:2">
      <c r="B43" s="151"/>
    </row>
    <row r="44" spans="2:2">
      <c r="B44" s="151"/>
    </row>
    <row r="45" spans="2:2">
      <c r="B45" s="151"/>
    </row>
    <row r="46" spans="2:2">
      <c r="B46" s="151"/>
    </row>
    <row r="47" spans="2:2">
      <c r="B47" s="151"/>
    </row>
    <row r="48" spans="2:2">
      <c r="B48" s="151"/>
    </row>
    <row r="49" spans="2:2">
      <c r="B49" s="151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D3C37-0DF2-407A-8629-9FBBD03D0326}">
  <dimension ref="A1:C18"/>
  <sheetViews>
    <sheetView zoomScale="90" zoomScaleNormal="90" workbookViewId="0">
      <pane ySplit="1" topLeftCell="A2" activePane="bottomLeft" state="frozen"/>
      <selection pane="bottomLeft" activeCell="C20" sqref="C20"/>
    </sheetView>
  </sheetViews>
  <sheetFormatPr defaultColWidth="9.109375" defaultRowHeight="13.8"/>
  <cols>
    <col min="1" max="1" width="10.6640625" style="128" bestFit="1" customWidth="1"/>
    <col min="2" max="2" width="17.88671875" style="128" customWidth="1"/>
    <col min="3" max="3" width="21.6640625" style="128" customWidth="1"/>
    <col min="4" max="16384" width="9.109375" style="128"/>
  </cols>
  <sheetData>
    <row r="1" spans="1:3" ht="41.4">
      <c r="A1" s="127" t="s">
        <v>157</v>
      </c>
      <c r="B1" s="143" t="s">
        <v>188</v>
      </c>
      <c r="C1" s="143" t="s">
        <v>183</v>
      </c>
    </row>
    <row r="2" spans="1:3">
      <c r="A2" s="128" t="s">
        <v>169</v>
      </c>
      <c r="B2" s="135">
        <v>1306.5</v>
      </c>
      <c r="C2" s="135">
        <v>1756.404</v>
      </c>
    </row>
    <row r="3" spans="1:3">
      <c r="A3" s="128" t="s">
        <v>170</v>
      </c>
      <c r="B3" s="135">
        <v>1397.38</v>
      </c>
      <c r="C3" s="135">
        <v>1834.568</v>
      </c>
    </row>
    <row r="4" spans="1:3">
      <c r="A4" s="128" t="s">
        <v>171</v>
      </c>
      <c r="B4" s="135">
        <v>1391.73</v>
      </c>
      <c r="C4" s="135">
        <v>1817.0609999999999</v>
      </c>
    </row>
    <row r="5" spans="1:3">
      <c r="A5" s="128" t="s">
        <v>172</v>
      </c>
      <c r="B5" s="135">
        <v>1351</v>
      </c>
      <c r="C5" s="135">
        <v>1614.5940000000001</v>
      </c>
    </row>
    <row r="6" spans="1:3">
      <c r="A6" s="128" t="s">
        <v>173</v>
      </c>
      <c r="B6" s="135">
        <v>1372.43</v>
      </c>
      <c r="C6" s="135">
        <v>1551.1510000000001</v>
      </c>
    </row>
    <row r="7" spans="1:3">
      <c r="A7" s="128" t="s">
        <v>174</v>
      </c>
      <c r="B7" s="135">
        <v>1531.9</v>
      </c>
      <c r="C7" s="135">
        <v>1518.2380000000001</v>
      </c>
    </row>
    <row r="8" spans="1:3">
      <c r="A8" s="128" t="s">
        <v>175</v>
      </c>
      <c r="B8" s="135">
        <v>1759.09</v>
      </c>
      <c r="C8" s="135">
        <v>1472.8430000000001</v>
      </c>
    </row>
    <row r="9" spans="1:3">
      <c r="A9" s="128" t="s">
        <v>176</v>
      </c>
      <c r="B9" s="135">
        <v>1834.9</v>
      </c>
      <c r="C9" s="135">
        <v>1642.8130000000001</v>
      </c>
    </row>
    <row r="10" spans="1:3">
      <c r="A10" s="128" t="s">
        <v>177</v>
      </c>
      <c r="B10" s="135">
        <v>1810.14</v>
      </c>
      <c r="C10" s="135">
        <v>1521.826</v>
      </c>
    </row>
    <row r="11" spans="1:3">
      <c r="A11" s="128" t="s">
        <v>178</v>
      </c>
      <c r="B11" s="135">
        <v>1596.41</v>
      </c>
      <c r="C11" s="135">
        <v>1645.83</v>
      </c>
    </row>
    <row r="12" spans="1:3">
      <c r="A12" s="128" t="s">
        <v>179</v>
      </c>
      <c r="B12" s="135">
        <v>1318.48</v>
      </c>
      <c r="C12" s="135">
        <v>1772.8040000000001</v>
      </c>
    </row>
    <row r="13" spans="1:3">
      <c r="A13" s="128" t="s">
        <v>180</v>
      </c>
      <c r="B13" s="135">
        <v>1370.26</v>
      </c>
      <c r="C13" s="135">
        <v>2094.6669999999999</v>
      </c>
    </row>
    <row r="14" spans="1:3">
      <c r="A14" s="128" t="s">
        <v>181</v>
      </c>
      <c r="B14" s="135">
        <v>1200.68</v>
      </c>
      <c r="C14" s="135">
        <v>2315.4639999999999</v>
      </c>
    </row>
    <row r="16" spans="1:3">
      <c r="B16" s="135"/>
      <c r="C16" s="135">
        <f>C14-C13</f>
        <v>220.79700000000003</v>
      </c>
    </row>
    <row r="18" spans="3:3">
      <c r="C18" s="135">
        <f>C14-C2</f>
        <v>559.05999999999995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BU530"/>
  <sheetViews>
    <sheetView showGridLines="0" zoomScale="70" zoomScaleNormal="70" workbookViewId="0">
      <selection activeCell="K8" sqref="K8"/>
    </sheetView>
  </sheetViews>
  <sheetFormatPr defaultColWidth="9.109375" defaultRowHeight="13.2"/>
  <cols>
    <col min="1" max="1" width="21.6640625" style="17" customWidth="1"/>
    <col min="2" max="2" width="14.109375" style="17" bestFit="1" customWidth="1"/>
    <col min="3" max="3" width="9.5546875" style="17" customWidth="1"/>
    <col min="4" max="4" width="26.6640625" style="17" customWidth="1"/>
    <col min="5" max="5" width="9.6640625" style="17" customWidth="1"/>
    <col min="6" max="6" width="10.6640625" style="17" customWidth="1"/>
    <col min="7" max="7" width="8.6640625" style="17" bestFit="1" customWidth="1"/>
    <col min="8" max="8" width="9.6640625" style="17" customWidth="1"/>
    <col min="9" max="9" width="1.6640625" style="17" customWidth="1"/>
    <col min="10" max="10" width="9.6640625" style="17" customWidth="1"/>
    <col min="11" max="12" width="10.6640625" style="17" customWidth="1"/>
    <col min="13" max="13" width="10.33203125" style="17" customWidth="1"/>
    <col min="14" max="14" width="9.6640625" style="17" customWidth="1"/>
    <col min="15" max="16" width="9.109375" style="17"/>
    <col min="17" max="17" width="15.44140625" style="17" bestFit="1" customWidth="1"/>
    <col min="18" max="18" width="10.109375" style="17" bestFit="1" customWidth="1"/>
    <col min="19" max="16384" width="9.109375" style="17"/>
  </cols>
  <sheetData>
    <row r="1" spans="1:23" ht="13.8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23" ht="13.8">
      <c r="A2" s="18"/>
      <c r="B2" s="19" t="s">
        <v>13</v>
      </c>
      <c r="C2" s="139"/>
      <c r="D2" s="20" t="s">
        <v>14</v>
      </c>
      <c r="E2" s="21"/>
      <c r="F2" s="139" t="s">
        <v>15</v>
      </c>
      <c r="G2" s="139"/>
      <c r="H2" s="139"/>
      <c r="I2" s="22"/>
      <c r="J2" s="21"/>
      <c r="K2" s="139"/>
      <c r="L2" s="23" t="s">
        <v>16</v>
      </c>
      <c r="M2" s="139"/>
      <c r="N2" s="18"/>
    </row>
    <row r="3" spans="1:23" ht="13.8">
      <c r="A3" s="18" t="s">
        <v>17</v>
      </c>
      <c r="B3" s="20" t="s">
        <v>18</v>
      </c>
      <c r="C3" s="18" t="s">
        <v>19</v>
      </c>
      <c r="D3" s="20"/>
      <c r="E3" s="24" t="s">
        <v>20</v>
      </c>
      <c r="F3" s="24"/>
      <c r="G3" s="24"/>
      <c r="H3" s="24"/>
      <c r="I3" s="24"/>
      <c r="J3" s="20" t="s">
        <v>21</v>
      </c>
      <c r="K3" s="24" t="s">
        <v>22</v>
      </c>
      <c r="L3" s="24"/>
      <c r="M3" s="24"/>
      <c r="N3" s="24" t="s">
        <v>23</v>
      </c>
    </row>
    <row r="4" spans="1:23" ht="13.8">
      <c r="A4" s="25" t="s">
        <v>24</v>
      </c>
      <c r="B4" s="26"/>
      <c r="C4" s="26"/>
      <c r="D4" s="26"/>
      <c r="E4" s="27" t="s">
        <v>25</v>
      </c>
      <c r="F4" s="27" t="s">
        <v>26</v>
      </c>
      <c r="G4" s="28" t="s">
        <v>27</v>
      </c>
      <c r="H4" s="29" t="s">
        <v>28</v>
      </c>
      <c r="I4" s="28"/>
      <c r="J4" s="28"/>
      <c r="K4" s="28" t="s">
        <v>29</v>
      </c>
      <c r="L4" s="29" t="s">
        <v>30</v>
      </c>
      <c r="M4" s="27" t="s">
        <v>28</v>
      </c>
      <c r="N4" s="28" t="s">
        <v>25</v>
      </c>
      <c r="W4" s="30"/>
    </row>
    <row r="5" spans="1:23" ht="14.4">
      <c r="A5" s="18"/>
      <c r="B5" s="31" t="s">
        <v>31</v>
      </c>
      <c r="C5" s="140"/>
      <c r="D5" s="32" t="s">
        <v>32</v>
      </c>
      <c r="G5" s="31"/>
      <c r="I5" s="31"/>
      <c r="J5" s="31" t="s">
        <v>33</v>
      </c>
      <c r="K5" s="31"/>
      <c r="L5" s="31"/>
      <c r="M5" s="31"/>
      <c r="N5" s="31"/>
      <c r="W5" s="30"/>
    </row>
    <row r="6" spans="1:23" ht="16.5" customHeight="1">
      <c r="A6" s="18" t="s">
        <v>34</v>
      </c>
      <c r="B6" s="33">
        <v>83.353999999999999</v>
      </c>
      <c r="C6" s="33">
        <v>82.602999999999994</v>
      </c>
      <c r="D6" s="33">
        <f>F6/C6</f>
        <v>51.042964541239421</v>
      </c>
      <c r="E6" s="34">
        <v>524.54100000000005</v>
      </c>
      <c r="F6" s="35">
        <v>4216.3019999999997</v>
      </c>
      <c r="G6" s="36">
        <v>19.815142646399998</v>
      </c>
      <c r="H6" s="36">
        <f>SUM(E6:G6)</f>
        <v>4760.6581426463999</v>
      </c>
      <c r="I6" s="18"/>
      <c r="J6" s="35">
        <v>2140.5846999999999</v>
      </c>
      <c r="K6" s="35">
        <f t="shared" ref="K6:K8" si="0">M6-L6-J6</f>
        <v>97.272779870399972</v>
      </c>
      <c r="L6" s="36">
        <v>2265.8216627759998</v>
      </c>
      <c r="M6" s="36">
        <f>H6-N6</f>
        <v>4503.6791426463997</v>
      </c>
      <c r="N6" s="36">
        <v>256.97899999999998</v>
      </c>
    </row>
    <row r="7" spans="1:23" ht="16.5" customHeight="1">
      <c r="A7" s="18" t="s">
        <v>35</v>
      </c>
      <c r="B7" s="33">
        <v>87.194999999999993</v>
      </c>
      <c r="C7" s="33">
        <v>86.311999999999998</v>
      </c>
      <c r="D7" s="33">
        <f>F7/C7</f>
        <v>51.735355454629712</v>
      </c>
      <c r="E7" s="34">
        <f>N6</f>
        <v>256.97899999999998</v>
      </c>
      <c r="F7" s="35">
        <f>F27</f>
        <v>4465.3819999999996</v>
      </c>
      <c r="G7" s="36">
        <f>G27</f>
        <v>15.9101740464</v>
      </c>
      <c r="H7" s="36">
        <f>SUM(E7:G7)</f>
        <v>4738.2711740464001</v>
      </c>
      <c r="I7" s="18"/>
      <c r="J7" s="35">
        <f>J27</f>
        <v>2203.8322700661743</v>
      </c>
      <c r="K7" s="35">
        <f t="shared" si="0"/>
        <v>103.03621654982544</v>
      </c>
      <c r="L7" s="36">
        <f>L27</f>
        <v>2157.6466874304001</v>
      </c>
      <c r="M7" s="36">
        <f>H7-N7</f>
        <v>4464.5151740463998</v>
      </c>
      <c r="N7" s="36">
        <f>N26</f>
        <v>273.75599999999997</v>
      </c>
    </row>
    <row r="8" spans="1:23" ht="16.5" customHeight="1">
      <c r="A8" s="18" t="s">
        <v>36</v>
      </c>
      <c r="B8" s="33">
        <v>87.454999999999998</v>
      </c>
      <c r="C8" s="33">
        <v>86.631</v>
      </c>
      <c r="D8" s="33">
        <f>F8/C8</f>
        <v>50.161304844686086</v>
      </c>
      <c r="E8" s="34">
        <f>N7</f>
        <v>273.75599999999997</v>
      </c>
      <c r="F8" s="35">
        <f>4345.524</f>
        <v>4345.5240000000003</v>
      </c>
      <c r="G8" s="36">
        <v>15</v>
      </c>
      <c r="H8" s="36">
        <f>SUM(E8:G8)</f>
        <v>4634.2800000000007</v>
      </c>
      <c r="I8" s="18"/>
      <c r="J8" s="35">
        <v>2245</v>
      </c>
      <c r="K8" s="35">
        <f t="shared" si="0"/>
        <v>124.28000000000065</v>
      </c>
      <c r="L8" s="36">
        <v>2045</v>
      </c>
      <c r="M8" s="36">
        <f>H8-N8</f>
        <v>4414.2800000000007</v>
      </c>
      <c r="N8" s="36">
        <v>220</v>
      </c>
    </row>
    <row r="9" spans="1:23" ht="16.5" customHeight="1">
      <c r="A9" s="22"/>
      <c r="B9" s="22"/>
      <c r="C9" s="22"/>
      <c r="D9" s="22"/>
      <c r="E9" s="37"/>
      <c r="F9" s="37"/>
      <c r="G9" s="38"/>
      <c r="H9" s="37"/>
      <c r="I9" s="37"/>
      <c r="J9" s="38"/>
      <c r="K9" s="38"/>
      <c r="L9" s="38"/>
      <c r="M9" s="38"/>
      <c r="N9" s="38"/>
    </row>
    <row r="10" spans="1:23" ht="16.5" customHeight="1">
      <c r="A10" s="52" t="s">
        <v>53</v>
      </c>
      <c r="B10" s="119"/>
      <c r="C10" s="119"/>
      <c r="D10" s="119"/>
      <c r="E10" s="42"/>
      <c r="F10" s="43"/>
      <c r="G10" s="7"/>
      <c r="H10" s="14"/>
      <c r="I10" s="119"/>
      <c r="J10" s="14"/>
      <c r="K10" s="41"/>
      <c r="L10" s="7"/>
      <c r="M10" s="7"/>
      <c r="N10" s="14"/>
    </row>
    <row r="11" spans="1:23" ht="16.5" customHeight="1">
      <c r="A11" s="22" t="s">
        <v>37</v>
      </c>
      <c r="B11" s="119"/>
      <c r="C11" s="119"/>
      <c r="D11" s="129"/>
      <c r="E11" s="42"/>
      <c r="F11" s="43"/>
      <c r="G11" s="7">
        <f>(24488.6*36.744)/1000000</f>
        <v>0.89980911839999989</v>
      </c>
      <c r="I11" s="119"/>
      <c r="J11" s="14">
        <f>((4924574*0.907185)*36.744)/1000000</f>
        <v>164.15380766099736</v>
      </c>
      <c r="K11" s="41"/>
      <c r="L11" s="7">
        <f>(2098690.6*36.744)/1000000</f>
        <v>77.11428740640001</v>
      </c>
      <c r="M11" s="7"/>
      <c r="N11" s="14"/>
      <c r="Q11" s="129"/>
    </row>
    <row r="12" spans="1:23" ht="16.5" customHeight="1">
      <c r="A12" s="22" t="s">
        <v>38</v>
      </c>
      <c r="B12" s="119"/>
      <c r="C12" s="119"/>
      <c r="D12" s="129"/>
      <c r="E12" s="42"/>
      <c r="F12" s="43"/>
      <c r="G12" s="7">
        <f>(19229.4*36.744)/1000000</f>
        <v>0.70656507359999998</v>
      </c>
      <c r="I12" s="119"/>
      <c r="J12" s="14">
        <f>((5908157*0.907185)*36.744)/1000000</f>
        <v>196.9401754972055</v>
      </c>
      <c r="K12" s="41"/>
      <c r="L12" s="7">
        <f>(10749625.7*36.744)/1000000</f>
        <v>394.9842467208</v>
      </c>
      <c r="M12" s="7"/>
      <c r="N12" s="14"/>
      <c r="Q12" s="129"/>
    </row>
    <row r="13" spans="1:23" ht="16.5" customHeight="1">
      <c r="A13" s="22" t="s">
        <v>39</v>
      </c>
      <c r="B13" s="119"/>
      <c r="C13" s="119"/>
      <c r="D13" s="129"/>
      <c r="E13" s="42"/>
      <c r="F13" s="43"/>
      <c r="G13" s="7">
        <f>(34894.1*36.744)/1000000</f>
        <v>1.2821488103999998</v>
      </c>
      <c r="I13" s="119"/>
      <c r="J13" s="14">
        <f>((5717943*0.907185)*36.744)/1000000</f>
        <v>190.59965703399854</v>
      </c>
      <c r="K13" s="41"/>
      <c r="L13" s="7">
        <f>(10581460.9*36.744)/1000000</f>
        <v>388.80519930959997</v>
      </c>
      <c r="M13" s="7"/>
      <c r="N13" s="14"/>
      <c r="Q13" s="129"/>
    </row>
    <row r="14" spans="1:23" ht="16.5" customHeight="1">
      <c r="A14" s="22" t="s">
        <v>40</v>
      </c>
      <c r="B14" s="119"/>
      <c r="C14" s="119"/>
      <c r="E14" s="42">
        <f>N6</f>
        <v>256.97899999999998</v>
      </c>
      <c r="F14" s="42">
        <f>4465.382</f>
        <v>4465.3819999999996</v>
      </c>
      <c r="G14" s="7">
        <f>SUM(G11:G13)</f>
        <v>2.8885230023999995</v>
      </c>
      <c r="H14" s="14">
        <f>SUM(E14:G14)</f>
        <v>4725.2495230023997</v>
      </c>
      <c r="I14" s="119"/>
      <c r="J14" s="14">
        <f>SUM(J11:J13)</f>
        <v>551.69364019220143</v>
      </c>
      <c r="K14" s="41">
        <f>M14-L14-J14</f>
        <v>161.1281493733984</v>
      </c>
      <c r="L14" s="7">
        <f>SUM(L11:L13)</f>
        <v>860.90373343679994</v>
      </c>
      <c r="M14" s="7">
        <f>H14-N14</f>
        <v>1573.7255230023998</v>
      </c>
      <c r="N14" s="14">
        <v>3151.5239999999999</v>
      </c>
    </row>
    <row r="15" spans="1:23" ht="16.5" customHeight="1">
      <c r="A15" s="18" t="s">
        <v>41</v>
      </c>
      <c r="B15" s="119"/>
      <c r="C15" s="119"/>
      <c r="D15" s="129"/>
      <c r="E15" s="42"/>
      <c r="F15" s="42"/>
      <c r="G15" s="7">
        <f>(27884.8*36.744)/1000000</f>
        <v>1.0245990912</v>
      </c>
      <c r="H15" s="14"/>
      <c r="I15" s="119"/>
      <c r="J15" s="14">
        <f>((5947222*0.907185)*36.744)/1000000</f>
        <v>198.24235280153209</v>
      </c>
      <c r="K15" s="41"/>
      <c r="L15" s="7">
        <f>(7940701.7*36.744)/1000000</f>
        <v>291.77314326480001</v>
      </c>
      <c r="M15" s="7"/>
      <c r="N15" s="14"/>
      <c r="Q15" s="129"/>
    </row>
    <row r="16" spans="1:23" ht="16.5" customHeight="1">
      <c r="A16" s="18" t="s">
        <v>42</v>
      </c>
      <c r="B16" s="119"/>
      <c r="C16" s="119"/>
      <c r="D16" s="129"/>
      <c r="E16" s="42"/>
      <c r="F16" s="42"/>
      <c r="G16" s="7">
        <f>(23947.4*36.744)/1000000</f>
        <v>0.8799232656</v>
      </c>
      <c r="H16" s="14"/>
      <c r="I16" s="119"/>
      <c r="J16" s="14">
        <f>((5828974*0.907185)*36.744)/1000000</f>
        <v>194.30072060181334</v>
      </c>
      <c r="K16" s="41"/>
      <c r="L16" s="7">
        <f>(6392108.3*36.744)/1000000</f>
        <v>234.87162737520001</v>
      </c>
      <c r="M16" s="7"/>
      <c r="N16" s="14"/>
      <c r="Q16" s="129"/>
    </row>
    <row r="17" spans="1:17" ht="16.5" customHeight="1">
      <c r="A17" s="18" t="s">
        <v>43</v>
      </c>
      <c r="B17" s="119"/>
      <c r="C17" s="119"/>
      <c r="D17" s="129"/>
      <c r="E17" s="42"/>
      <c r="F17" s="42"/>
      <c r="G17" s="7">
        <f>(47248.7*36.744)/1000000</f>
        <v>1.7361062327999999</v>
      </c>
      <c r="H17" s="14"/>
      <c r="I17" s="119"/>
      <c r="J17" s="14">
        <f>((5232453*0.907185)*36.744)/1000000</f>
        <v>174.41652483183492</v>
      </c>
      <c r="K17" s="41"/>
      <c r="L17" s="7">
        <f>(3791255.7*36.744)/1000000</f>
        <v>139.3058994408</v>
      </c>
      <c r="M17" s="7"/>
      <c r="N17" s="14"/>
      <c r="Q17" s="129"/>
    </row>
    <row r="18" spans="1:17" ht="16.5" customHeight="1">
      <c r="A18" s="18" t="s">
        <v>44</v>
      </c>
      <c r="B18" s="119"/>
      <c r="C18" s="119"/>
      <c r="E18" s="42">
        <f>N14</f>
        <v>3151.5239999999999</v>
      </c>
      <c r="F18" s="42"/>
      <c r="G18" s="7">
        <f>SUM(G15:G17)</f>
        <v>3.6406285895999999</v>
      </c>
      <c r="H18" s="14">
        <f>E18+F18+G18</f>
        <v>3155.1646285895999</v>
      </c>
      <c r="I18" s="119"/>
      <c r="J18" s="14">
        <f>SUM(J15:J17)</f>
        <v>566.95959823518035</v>
      </c>
      <c r="K18" s="41">
        <f>M18-L18-J18</f>
        <v>-9.0486397263805429</v>
      </c>
      <c r="L18" s="7">
        <f>SUM(L15:L17)</f>
        <v>665.95067008080002</v>
      </c>
      <c r="M18" s="7">
        <f>H18-N18</f>
        <v>1223.8616285895998</v>
      </c>
      <c r="N18" s="14">
        <v>1931.3030000000001</v>
      </c>
    </row>
    <row r="19" spans="1:17" ht="16.5" customHeight="1">
      <c r="A19" s="18" t="s">
        <v>45</v>
      </c>
      <c r="B19" s="119"/>
      <c r="C19" s="119"/>
      <c r="D19" s="129"/>
      <c r="E19" s="42"/>
      <c r="F19" s="42"/>
      <c r="G19" s="7">
        <f>(33665.9*36.744)/1000000</f>
        <v>1.2370198296000001</v>
      </c>
      <c r="H19" s="14"/>
      <c r="I19" s="119"/>
      <c r="J19" s="14">
        <f>((5786159*0.907185)*36.744)/1000000</f>
        <v>192.87354227633676</v>
      </c>
      <c r="K19" s="41"/>
      <c r="L19" s="7">
        <f>(3184420.8*36.744)/1000000</f>
        <v>117.00835787519999</v>
      </c>
      <c r="M19" s="7"/>
      <c r="N19" s="14"/>
      <c r="Q19" s="129"/>
    </row>
    <row r="20" spans="1:17" ht="16.5" customHeight="1">
      <c r="A20" s="18" t="s">
        <v>46</v>
      </c>
      <c r="B20" s="119"/>
      <c r="C20" s="119"/>
      <c r="D20" s="129"/>
      <c r="E20" s="42"/>
      <c r="F20" s="42"/>
      <c r="G20" s="7">
        <f>(49190.6*36.744)/1000000</f>
        <v>1.8074594064</v>
      </c>
      <c r="H20" s="14"/>
      <c r="I20" s="119"/>
      <c r="J20" s="14">
        <f>((5426712*0.907185)*36.744)/1000000</f>
        <v>180.89187772985568</v>
      </c>
      <c r="K20" s="41"/>
      <c r="L20" s="7">
        <f>(3657248.5*36.744)/1000000</f>
        <v>134.38193888399999</v>
      </c>
      <c r="M20" s="7"/>
      <c r="N20" s="14"/>
      <c r="Q20" s="129"/>
    </row>
    <row r="21" spans="1:17" ht="16.5" customHeight="1">
      <c r="A21" s="18" t="s">
        <v>47</v>
      </c>
      <c r="B21" s="119"/>
      <c r="C21" s="119"/>
      <c r="D21" s="129"/>
      <c r="E21" s="42"/>
      <c r="F21" s="42"/>
      <c r="G21" s="7">
        <f>(30553.6*36.744)/1000000</f>
        <v>1.1226614784</v>
      </c>
      <c r="H21" s="14"/>
      <c r="I21" s="119"/>
      <c r="J21" s="14">
        <f>((5427160*0.907185)*36.744)/1000000</f>
        <v>180.90681118518239</v>
      </c>
      <c r="K21" s="41"/>
      <c r="L21" s="7">
        <f>(2413962.6*36.744)/1000000</f>
        <v>88.698641774400002</v>
      </c>
      <c r="M21" s="7"/>
      <c r="N21" s="14"/>
      <c r="Q21" s="129"/>
    </row>
    <row r="22" spans="1:17" ht="16.5" customHeight="1">
      <c r="A22" s="18" t="s">
        <v>48</v>
      </c>
      <c r="B22" s="119"/>
      <c r="C22" s="119"/>
      <c r="E22" s="42">
        <f>N18</f>
        <v>1931.3030000000001</v>
      </c>
      <c r="F22" s="42"/>
      <c r="G22" s="7">
        <f>SUM(G19:G21)</f>
        <v>4.1671407144000003</v>
      </c>
      <c r="H22" s="14">
        <f>E22+F22+G22</f>
        <v>1935.4701407144</v>
      </c>
      <c r="I22" s="119"/>
      <c r="J22" s="14">
        <f>SUM(J19:J21)</f>
        <v>554.67223119137486</v>
      </c>
      <c r="K22" s="41">
        <f>M22-L22-J22</f>
        <v>69.419970989425224</v>
      </c>
      <c r="L22" s="7">
        <f>SUM(L19:L21)</f>
        <v>340.08893853360001</v>
      </c>
      <c r="M22" s="7">
        <f>H22-N22</f>
        <v>964.18114071440004</v>
      </c>
      <c r="N22" s="14">
        <v>971.28899999999999</v>
      </c>
    </row>
    <row r="23" spans="1:17" ht="16.5" customHeight="1">
      <c r="A23" s="18" t="s">
        <v>49</v>
      </c>
      <c r="B23" s="119"/>
      <c r="C23" s="119"/>
      <c r="D23"/>
      <c r="E23" s="42"/>
      <c r="F23" s="42"/>
      <c r="G23" s="7">
        <f>(21134.8*36.744)/1000000</f>
        <v>0.77657709120000007</v>
      </c>
      <c r="H23" s="14"/>
      <c r="I23" s="119"/>
      <c r="J23" s="14">
        <f>((5222412*0.907185)*36.744)/1000000</f>
        <v>174.08182209760369</v>
      </c>
      <c r="K23" s="41"/>
      <c r="L23" s="7">
        <f>(2271040.2*36.744)/1000000</f>
        <v>83.447101108800013</v>
      </c>
      <c r="M23" s="7"/>
      <c r="N23" s="14"/>
      <c r="Q23"/>
    </row>
    <row r="24" spans="1:17" ht="16.5" customHeight="1">
      <c r="A24" s="18" t="s">
        <v>50</v>
      </c>
      <c r="B24" s="119"/>
      <c r="C24" s="119"/>
      <c r="D24"/>
      <c r="E24" s="42"/>
      <c r="F24" s="42"/>
      <c r="G24" s="7">
        <f>(60079*36.744)/1000000</f>
        <v>2.2075427759999999</v>
      </c>
      <c r="H24" s="14"/>
      <c r="I24" s="119"/>
      <c r="J24" s="14">
        <f>((5440043*0.907185)*36.744)/1000000</f>
        <v>181.33624802664252</v>
      </c>
      <c r="K24" s="41"/>
      <c r="L24" s="7">
        <f>(2323087.5*36.744)/1000000</f>
        <v>85.359527099999994</v>
      </c>
      <c r="M24" s="7"/>
      <c r="N24" s="14"/>
      <c r="Q24"/>
    </row>
    <row r="25" spans="1:17" ht="16.5" customHeight="1">
      <c r="A25" s="18" t="s">
        <v>51</v>
      </c>
      <c r="B25" s="119"/>
      <c r="C25" s="119"/>
      <c r="D25"/>
      <c r="E25" s="42"/>
      <c r="F25" s="42"/>
      <c r="G25" s="7">
        <f>(60683.8*36.744)/1000000</f>
        <v>2.2297655472</v>
      </c>
      <c r="H25" s="14"/>
      <c r="I25" s="119"/>
      <c r="J25" s="14">
        <f>((5252619*0.907185)*36.744)/1000000</f>
        <v>175.08873032317118</v>
      </c>
      <c r="K25" s="41"/>
      <c r="L25" s="7">
        <f>(3317459.2*36.744)/1000000</f>
        <v>121.89672084480002</v>
      </c>
      <c r="M25" s="7"/>
      <c r="N25" s="14"/>
      <c r="Q25"/>
    </row>
    <row r="26" spans="1:17" ht="16.5" customHeight="1">
      <c r="A26" s="18" t="s">
        <v>52</v>
      </c>
      <c r="B26" s="119"/>
      <c r="C26" s="119"/>
      <c r="D26"/>
      <c r="E26" s="42">
        <f>N22</f>
        <v>971.28899999999999</v>
      </c>
      <c r="F26" s="42"/>
      <c r="G26" s="7">
        <f>SUM(G23:G25)</f>
        <v>5.2138854144</v>
      </c>
      <c r="H26" s="14">
        <f>E26+F26+G26</f>
        <v>976.5028854144</v>
      </c>
      <c r="I26" s="119"/>
      <c r="J26" s="14">
        <f>SUM(J23:J25)</f>
        <v>530.50680044741739</v>
      </c>
      <c r="K26" s="41">
        <f>M26-L26-J26</f>
        <v>-118.46326408661741</v>
      </c>
      <c r="L26" s="7">
        <f>SUM(L23:L25)</f>
        <v>290.70334905360005</v>
      </c>
      <c r="M26" s="7">
        <f>H26-N26</f>
        <v>702.74688541440003</v>
      </c>
      <c r="N26" s="14">
        <f>273.756</f>
        <v>273.75599999999997</v>
      </c>
      <c r="Q26"/>
    </row>
    <row r="27" spans="1:17" ht="16.5" customHeight="1">
      <c r="A27" s="22" t="s">
        <v>28</v>
      </c>
      <c r="B27" s="119"/>
      <c r="C27" s="119"/>
      <c r="D27" s="119"/>
      <c r="E27" s="42"/>
      <c r="F27" s="42">
        <f>F14</f>
        <v>4465.3819999999996</v>
      </c>
      <c r="G27" s="7">
        <f>(433000.6*36.744)/1000000</f>
        <v>15.9101740464</v>
      </c>
      <c r="H27" s="14">
        <f>E14+F27+G27</f>
        <v>4738.2711740464001</v>
      </c>
      <c r="I27" s="119"/>
      <c r="J27" s="14">
        <f>SUM(J14,J18,J22,J26)</f>
        <v>2203.8322700661743</v>
      </c>
      <c r="K27" s="41">
        <f>SUM(K14,K18,K22,K26)</f>
        <v>103.03621654982567</v>
      </c>
      <c r="L27" s="7">
        <f>(58721061.6*36.744)/1000000</f>
        <v>2157.6466874304001</v>
      </c>
      <c r="M27" s="7">
        <f>SUM(M14,M18,M22,M26)</f>
        <v>4464.5151777208002</v>
      </c>
      <c r="N27" s="14"/>
    </row>
    <row r="28" spans="1:17" ht="16.5" customHeight="1">
      <c r="A28" s="22"/>
      <c r="B28" s="119"/>
      <c r="C28" s="119"/>
      <c r="D28" s="119"/>
      <c r="E28" s="42"/>
      <c r="F28" s="42"/>
      <c r="G28" s="7"/>
      <c r="H28" s="14"/>
      <c r="I28" s="119"/>
      <c r="J28" s="14"/>
      <c r="K28" s="41"/>
      <c r="L28" s="7"/>
      <c r="M28" s="7"/>
      <c r="N28" s="14"/>
    </row>
    <row r="29" spans="1:17" ht="16.5" customHeight="1">
      <c r="A29" s="52" t="s">
        <v>156</v>
      </c>
      <c r="B29" s="119"/>
      <c r="C29" s="119"/>
      <c r="D29" s="119"/>
      <c r="E29" s="42"/>
      <c r="F29" s="42"/>
      <c r="G29" s="7"/>
      <c r="H29" s="14"/>
      <c r="I29" s="119"/>
      <c r="J29" s="14"/>
      <c r="K29" s="41"/>
      <c r="L29" s="7"/>
      <c r="M29" s="7"/>
      <c r="N29" s="14"/>
    </row>
    <row r="30" spans="1:17" ht="16.5" customHeight="1">
      <c r="A30" s="22" t="s">
        <v>37</v>
      </c>
      <c r="B30" s="119"/>
      <c r="C30" s="119"/>
      <c r="D30" s="119"/>
      <c r="E30" s="42">
        <f>N26</f>
        <v>273.75599999999997</v>
      </c>
      <c r="F30" s="42"/>
      <c r="G30" s="7">
        <f>(31760.9*36.744)/1000000</f>
        <v>1.1670225096</v>
      </c>
      <c r="H30" s="14"/>
      <c r="I30" s="119"/>
      <c r="J30" s="14">
        <f>((5028287*0.907185)*36.744)/1000000</f>
        <v>167.6109359027387</v>
      </c>
      <c r="K30" s="41"/>
      <c r="L30" s="7">
        <f>(2122949.2*36.744)/1000000</f>
        <v>78.005645404800006</v>
      </c>
      <c r="M30" s="7"/>
      <c r="N30" s="14"/>
    </row>
    <row r="31" spans="1:17" ht="16.5" customHeight="1">
      <c r="A31" s="113" t="s">
        <v>54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114"/>
      <c r="M31" s="92"/>
      <c r="N31" s="92"/>
    </row>
    <row r="32" spans="1:17" ht="16.5" customHeight="1">
      <c r="A32" s="18" t="s">
        <v>55</v>
      </c>
      <c r="B32" s="18"/>
      <c r="C32" s="18"/>
      <c r="D32" s="18"/>
      <c r="E32" s="46"/>
      <c r="F32" s="46"/>
      <c r="G32" s="46"/>
      <c r="H32" s="46"/>
      <c r="I32" s="46"/>
      <c r="J32" s="46"/>
      <c r="K32" s="46"/>
      <c r="L32" s="46"/>
      <c r="M32" s="46"/>
      <c r="N32" s="46"/>
    </row>
    <row r="33" spans="1:73" ht="16.5" customHeight="1">
      <c r="A33" s="24" t="s">
        <v>56</v>
      </c>
      <c r="B33" s="47">
        <f>Contents!A16</f>
        <v>44879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20"/>
      <c r="P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</row>
    <row r="34" spans="1:73">
      <c r="O34" s="120"/>
      <c r="P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</row>
    <row r="35" spans="1:73">
      <c r="O35" s="120"/>
      <c r="P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</row>
    <row r="36" spans="1:73">
      <c r="O36" s="120"/>
      <c r="P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</row>
    <row r="37" spans="1:73">
      <c r="F37" s="48"/>
      <c r="O37" s="120"/>
      <c r="P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</row>
    <row r="38" spans="1:73">
      <c r="O38" s="120"/>
      <c r="P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</row>
    <row r="39" spans="1:73">
      <c r="O39" s="120"/>
      <c r="P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</row>
    <row r="40" spans="1:73">
      <c r="O40" s="120"/>
      <c r="P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</row>
    <row r="41" spans="1:73">
      <c r="O41" s="120"/>
      <c r="P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20"/>
      <c r="BS41" s="120"/>
      <c r="BT41" s="120"/>
      <c r="BU41" s="120"/>
    </row>
    <row r="42" spans="1:73">
      <c r="O42" s="120"/>
      <c r="P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</row>
    <row r="43" spans="1:73">
      <c r="O43" s="120"/>
      <c r="P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</row>
    <row r="44" spans="1:73">
      <c r="O44" s="120"/>
      <c r="P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</row>
    <row r="45" spans="1:73">
      <c r="O45" s="120"/>
      <c r="P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</row>
    <row r="46" spans="1:73">
      <c r="O46" s="120"/>
      <c r="P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</row>
    <row r="47" spans="1:73">
      <c r="O47" s="120"/>
      <c r="P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</row>
    <row r="48" spans="1:73">
      <c r="O48" s="120"/>
      <c r="P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</row>
    <row r="49" spans="15:73">
      <c r="O49" s="120"/>
      <c r="P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</row>
    <row r="50" spans="15:73">
      <c r="O50" s="120"/>
      <c r="P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</row>
    <row r="51" spans="15:73">
      <c r="O51" s="120"/>
      <c r="P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</row>
    <row r="52" spans="15:73">
      <c r="O52" s="120"/>
      <c r="P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</row>
    <row r="53" spans="15:73">
      <c r="O53" s="120"/>
      <c r="P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</row>
    <row r="54" spans="15:73">
      <c r="O54" s="120"/>
      <c r="P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</row>
    <row r="55" spans="15:73">
      <c r="O55" s="120"/>
      <c r="P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20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</row>
    <row r="56" spans="15:73">
      <c r="O56" s="120"/>
      <c r="P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</row>
    <row r="57" spans="15:73">
      <c r="O57" s="120"/>
      <c r="P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</row>
    <row r="58" spans="15:73">
      <c r="O58" s="120"/>
      <c r="P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</row>
    <row r="59" spans="15:73">
      <c r="O59" s="120"/>
      <c r="P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</row>
    <row r="60" spans="15:73">
      <c r="O60" s="120"/>
      <c r="P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</row>
    <row r="61" spans="15:73"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</row>
    <row r="62" spans="15:73"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T62" s="120"/>
      <c r="BU62" s="120"/>
    </row>
    <row r="63" spans="15:73"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20"/>
      <c r="BS63" s="120"/>
      <c r="BT63" s="120"/>
      <c r="BU63" s="120"/>
    </row>
    <row r="64" spans="15:73"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20"/>
      <c r="BS64" s="120"/>
      <c r="BT64" s="120"/>
      <c r="BU64" s="120"/>
    </row>
    <row r="65" spans="15:73"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20"/>
      <c r="BS65" s="120"/>
      <c r="BT65" s="120"/>
      <c r="BU65" s="120"/>
    </row>
    <row r="66" spans="15:73"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0"/>
      <c r="BD66" s="120"/>
      <c r="BE66" s="120"/>
      <c r="BF66" s="120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20"/>
      <c r="BS66" s="120"/>
      <c r="BT66" s="120"/>
      <c r="BU66" s="120"/>
    </row>
    <row r="67" spans="15:73"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</row>
    <row r="68" spans="15:73"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/>
      <c r="BU68" s="120"/>
    </row>
    <row r="69" spans="15:73"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20"/>
      <c r="BS69" s="120"/>
      <c r="BT69" s="120"/>
      <c r="BU69" s="120"/>
    </row>
    <row r="70" spans="15:73"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20"/>
      <c r="BS70" s="120"/>
      <c r="BT70" s="120"/>
      <c r="BU70" s="120"/>
    </row>
    <row r="71" spans="15:73"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20"/>
      <c r="BS71" s="120"/>
      <c r="BT71" s="120"/>
      <c r="BU71" s="120"/>
    </row>
    <row r="72" spans="15:73"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20"/>
      <c r="BS72" s="120"/>
      <c r="BT72" s="120"/>
      <c r="BU72" s="120"/>
    </row>
    <row r="73" spans="15:73"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</row>
    <row r="74" spans="15:73"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20"/>
      <c r="BS74" s="120"/>
      <c r="BT74" s="120"/>
      <c r="BU74" s="120"/>
    </row>
    <row r="75" spans="15:73"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</row>
    <row r="76" spans="15:73"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</row>
    <row r="77" spans="15:73"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</row>
    <row r="78" spans="15:73"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</row>
    <row r="79" spans="15:73"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</row>
    <row r="80" spans="15:73"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20"/>
      <c r="BS80" s="120"/>
      <c r="BT80" s="120"/>
      <c r="BU80" s="120"/>
    </row>
    <row r="81" spans="15:73"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20"/>
      <c r="BS81" s="120"/>
      <c r="BT81" s="120"/>
      <c r="BU81" s="120"/>
    </row>
    <row r="82" spans="15:73"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20"/>
      <c r="BS82" s="120"/>
      <c r="BT82" s="120"/>
      <c r="BU82" s="120"/>
    </row>
    <row r="83" spans="15:73"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20"/>
      <c r="BS83" s="120"/>
      <c r="BT83" s="120"/>
      <c r="BU83" s="120"/>
    </row>
    <row r="84" spans="15:73"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20"/>
      <c r="BS84" s="120"/>
      <c r="BT84" s="120"/>
      <c r="BU84" s="120"/>
    </row>
    <row r="85" spans="15:73"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</row>
    <row r="86" spans="15:73"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20"/>
      <c r="BS86" s="120"/>
      <c r="BT86" s="120"/>
      <c r="BU86" s="120"/>
    </row>
    <row r="87" spans="15:73"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</row>
    <row r="88" spans="15:73"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20"/>
      <c r="BS88" s="120"/>
      <c r="BT88" s="120"/>
      <c r="BU88" s="120"/>
    </row>
    <row r="89" spans="15:73"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</row>
    <row r="90" spans="15:73"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20"/>
      <c r="BS90" s="120"/>
      <c r="BT90" s="120"/>
      <c r="BU90" s="120"/>
    </row>
    <row r="91" spans="15:73"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20"/>
      <c r="BS91" s="120"/>
      <c r="BT91" s="120"/>
      <c r="BU91" s="120"/>
    </row>
    <row r="92" spans="15:73"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20"/>
      <c r="BD92" s="120"/>
      <c r="BE92" s="120"/>
      <c r="BF92" s="120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20"/>
      <c r="BS92" s="120"/>
      <c r="BT92" s="120"/>
      <c r="BU92" s="120"/>
    </row>
    <row r="93" spans="15:73"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20"/>
      <c r="AV93" s="120"/>
      <c r="AW93" s="120"/>
      <c r="AX93" s="120"/>
      <c r="AY93" s="120"/>
      <c r="AZ93" s="120"/>
      <c r="BA93" s="120"/>
      <c r="BB93" s="120"/>
      <c r="BC93" s="120"/>
      <c r="BD93" s="120"/>
      <c r="BE93" s="120"/>
      <c r="BF93" s="120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20"/>
      <c r="BS93" s="120"/>
      <c r="BT93" s="120"/>
      <c r="BU93" s="120"/>
    </row>
    <row r="94" spans="15:73"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20"/>
      <c r="BS94" s="120"/>
      <c r="BT94" s="120"/>
      <c r="BU94" s="120"/>
    </row>
    <row r="95" spans="15:73"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  <c r="BC95" s="120"/>
      <c r="BD95" s="120"/>
      <c r="BE95" s="120"/>
      <c r="BF95" s="120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20"/>
      <c r="BS95" s="120"/>
      <c r="BT95" s="120"/>
      <c r="BU95" s="120"/>
    </row>
    <row r="96" spans="15:73"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20"/>
      <c r="BC96" s="120"/>
      <c r="BD96" s="120"/>
      <c r="BE96" s="120"/>
      <c r="BF96" s="120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20"/>
      <c r="BS96" s="120"/>
      <c r="BT96" s="120"/>
      <c r="BU96" s="120"/>
    </row>
    <row r="97" spans="15:73"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120"/>
      <c r="BD97" s="120"/>
      <c r="BE97" s="120"/>
      <c r="BF97" s="120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20"/>
      <c r="BS97" s="120"/>
      <c r="BT97" s="120"/>
      <c r="BU97" s="120"/>
    </row>
    <row r="98" spans="15:73"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  <c r="BC98" s="120"/>
      <c r="BD98" s="120"/>
      <c r="BE98" s="120"/>
      <c r="BF98" s="120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20"/>
      <c r="BS98" s="120"/>
      <c r="BT98" s="120"/>
      <c r="BU98" s="120"/>
    </row>
    <row r="99" spans="15:73"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0"/>
      <c r="BC99" s="120"/>
      <c r="BD99" s="120"/>
      <c r="BE99" s="120"/>
      <c r="BF99" s="120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20"/>
      <c r="BS99" s="120"/>
      <c r="BT99" s="120"/>
      <c r="BU99" s="120"/>
    </row>
    <row r="100" spans="15:73"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120"/>
      <c r="BC100" s="120"/>
      <c r="BD100" s="120"/>
      <c r="BE100" s="120"/>
      <c r="BF100" s="120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20"/>
      <c r="BS100" s="120"/>
      <c r="BT100" s="120"/>
      <c r="BU100" s="120"/>
    </row>
    <row r="101" spans="15:73"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20"/>
      <c r="AV101" s="120"/>
      <c r="AW101" s="120"/>
      <c r="AX101" s="120"/>
      <c r="AY101" s="120"/>
      <c r="AZ101" s="120"/>
      <c r="BA101" s="120"/>
      <c r="BB101" s="120"/>
      <c r="BC101" s="120"/>
      <c r="BD101" s="120"/>
      <c r="BE101" s="120"/>
      <c r="BF101" s="120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20"/>
      <c r="BS101" s="120"/>
      <c r="BT101" s="120"/>
      <c r="BU101" s="120"/>
    </row>
    <row r="102" spans="15:73"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20"/>
      <c r="AV102" s="120"/>
      <c r="AW102" s="120"/>
      <c r="AX102" s="120"/>
      <c r="AY102" s="120"/>
      <c r="AZ102" s="120"/>
      <c r="BA102" s="120"/>
      <c r="BB102" s="120"/>
      <c r="BC102" s="120"/>
      <c r="BD102" s="120"/>
      <c r="BE102" s="120"/>
      <c r="BF102" s="120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20"/>
      <c r="BS102" s="120"/>
      <c r="BT102" s="120"/>
      <c r="BU102" s="120"/>
    </row>
    <row r="103" spans="15:73"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120"/>
      <c r="BC103" s="120"/>
      <c r="BD103" s="120"/>
      <c r="BE103" s="120"/>
      <c r="BF103" s="120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20"/>
      <c r="BS103" s="120"/>
      <c r="BT103" s="120"/>
      <c r="BU103" s="120"/>
    </row>
    <row r="104" spans="15:73"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20"/>
      <c r="AV104" s="120"/>
      <c r="AW104" s="120"/>
      <c r="AX104" s="120"/>
      <c r="AY104" s="120"/>
      <c r="AZ104" s="120"/>
      <c r="BA104" s="120"/>
      <c r="BB104" s="120"/>
      <c r="BC104" s="120"/>
      <c r="BD104" s="120"/>
      <c r="BE104" s="120"/>
      <c r="BF104" s="120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20"/>
      <c r="BS104" s="120"/>
      <c r="BT104" s="120"/>
      <c r="BU104" s="120"/>
    </row>
    <row r="105" spans="15:73"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20"/>
      <c r="BS105" s="120"/>
      <c r="BT105" s="120"/>
      <c r="BU105" s="120"/>
    </row>
    <row r="106" spans="15:73"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20"/>
      <c r="BC106" s="120"/>
      <c r="BD106" s="120"/>
      <c r="BE106" s="120"/>
      <c r="BF106" s="120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20"/>
      <c r="BS106" s="120"/>
      <c r="BT106" s="120"/>
      <c r="BU106" s="120"/>
    </row>
    <row r="107" spans="15:73"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120"/>
      <c r="BA107" s="120"/>
      <c r="BB107" s="120"/>
      <c r="BC107" s="120"/>
      <c r="BD107" s="120"/>
      <c r="BE107" s="120"/>
      <c r="BF107" s="120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20"/>
      <c r="BS107" s="120"/>
      <c r="BT107" s="120"/>
      <c r="BU107" s="120"/>
    </row>
    <row r="108" spans="15:73"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120"/>
      <c r="BC108" s="120"/>
      <c r="BD108" s="120"/>
      <c r="BE108" s="120"/>
      <c r="BF108" s="120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20"/>
      <c r="BS108" s="120"/>
      <c r="BT108" s="120"/>
      <c r="BU108" s="120"/>
    </row>
    <row r="109" spans="15:73"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20"/>
      <c r="BS109" s="120"/>
      <c r="BT109" s="120"/>
      <c r="BU109" s="120"/>
    </row>
    <row r="110" spans="15:73"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20"/>
      <c r="AV110" s="120"/>
      <c r="AW110" s="120"/>
      <c r="AX110" s="120"/>
      <c r="AY110" s="120"/>
      <c r="AZ110" s="120"/>
      <c r="BA110" s="120"/>
      <c r="BB110" s="120"/>
      <c r="BC110" s="120"/>
      <c r="BD110" s="120"/>
      <c r="BE110" s="120"/>
      <c r="BF110" s="120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20"/>
      <c r="BS110" s="120"/>
      <c r="BT110" s="120"/>
      <c r="BU110" s="120"/>
    </row>
    <row r="111" spans="15:73"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120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20"/>
      <c r="BS111" s="120"/>
      <c r="BT111" s="120"/>
      <c r="BU111" s="120"/>
    </row>
    <row r="112" spans="15:73"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20"/>
      <c r="AV112" s="120"/>
      <c r="AW112" s="120"/>
      <c r="AX112" s="120"/>
      <c r="AY112" s="120"/>
      <c r="AZ112" s="120"/>
      <c r="BA112" s="120"/>
      <c r="BB112" s="120"/>
      <c r="BC112" s="120"/>
      <c r="BD112" s="120"/>
      <c r="BE112" s="120"/>
      <c r="BF112" s="120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20"/>
      <c r="BS112" s="120"/>
      <c r="BT112" s="120"/>
      <c r="BU112" s="120"/>
    </row>
    <row r="113" spans="15:73"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  <c r="BA113" s="120"/>
      <c r="BB113" s="120"/>
      <c r="BC113" s="120"/>
      <c r="BD113" s="120"/>
      <c r="BE113" s="120"/>
      <c r="BF113" s="120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20"/>
      <c r="BS113" s="120"/>
      <c r="BT113" s="120"/>
      <c r="BU113" s="120"/>
    </row>
    <row r="114" spans="15:73"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20"/>
      <c r="AV114" s="120"/>
      <c r="AW114" s="120"/>
      <c r="AX114" s="120"/>
      <c r="AY114" s="120"/>
      <c r="AZ114" s="120"/>
      <c r="BA114" s="120"/>
      <c r="BB114" s="120"/>
      <c r="BC114" s="120"/>
      <c r="BD114" s="120"/>
      <c r="BE114" s="120"/>
      <c r="BF114" s="120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20"/>
      <c r="BS114" s="120"/>
      <c r="BT114" s="120"/>
      <c r="BU114" s="120"/>
    </row>
    <row r="115" spans="15:73"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120"/>
      <c r="BA115" s="120"/>
      <c r="BB115" s="120"/>
      <c r="BC115" s="120"/>
      <c r="BD115" s="120"/>
      <c r="BE115" s="120"/>
      <c r="BF115" s="120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20"/>
      <c r="BS115" s="120"/>
      <c r="BT115" s="120"/>
      <c r="BU115" s="120"/>
    </row>
    <row r="116" spans="15:73"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120"/>
      <c r="BA116" s="120"/>
      <c r="BB116" s="120"/>
      <c r="BC116" s="120"/>
      <c r="BD116" s="120"/>
      <c r="BE116" s="120"/>
      <c r="BF116" s="120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20"/>
      <c r="BS116" s="120"/>
      <c r="BT116" s="120"/>
      <c r="BU116" s="120"/>
    </row>
    <row r="117" spans="15:73"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20"/>
      <c r="AV117" s="120"/>
      <c r="AW117" s="120"/>
      <c r="AX117" s="120"/>
      <c r="AY117" s="120"/>
      <c r="AZ117" s="120"/>
      <c r="BA117" s="120"/>
      <c r="BB117" s="120"/>
      <c r="BC117" s="120"/>
      <c r="BD117" s="120"/>
      <c r="BE117" s="120"/>
      <c r="BF117" s="120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20"/>
      <c r="BS117" s="120"/>
      <c r="BT117" s="120"/>
      <c r="BU117" s="120"/>
    </row>
    <row r="118" spans="15:73"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20"/>
      <c r="AV118" s="120"/>
      <c r="AW118" s="120"/>
      <c r="AX118" s="120"/>
      <c r="AY118" s="120"/>
      <c r="AZ118" s="120"/>
      <c r="BA118" s="120"/>
      <c r="BB118" s="120"/>
      <c r="BC118" s="120"/>
      <c r="BD118" s="120"/>
      <c r="BE118" s="120"/>
      <c r="BF118" s="120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20"/>
      <c r="BS118" s="120"/>
      <c r="BT118" s="120"/>
      <c r="BU118" s="120"/>
    </row>
    <row r="119" spans="15:73"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20"/>
      <c r="AV119" s="120"/>
      <c r="AW119" s="120"/>
      <c r="AX119" s="120"/>
      <c r="AY119" s="120"/>
      <c r="AZ119" s="120"/>
      <c r="BA119" s="120"/>
      <c r="BB119" s="120"/>
      <c r="BC119" s="120"/>
      <c r="BD119" s="120"/>
      <c r="BE119" s="120"/>
      <c r="BF119" s="120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20"/>
      <c r="BS119" s="120"/>
      <c r="BT119" s="120"/>
      <c r="BU119" s="120"/>
    </row>
    <row r="120" spans="15:73"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20"/>
      <c r="AV120" s="120"/>
      <c r="AW120" s="120"/>
      <c r="AX120" s="120"/>
      <c r="AY120" s="120"/>
      <c r="AZ120" s="120"/>
      <c r="BA120" s="120"/>
      <c r="BB120" s="120"/>
      <c r="BC120" s="120"/>
      <c r="BD120" s="120"/>
      <c r="BE120" s="120"/>
      <c r="BF120" s="120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20"/>
      <c r="BS120" s="120"/>
      <c r="BT120" s="120"/>
      <c r="BU120" s="120"/>
    </row>
    <row r="121" spans="15:73"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20"/>
      <c r="AV121" s="120"/>
      <c r="AW121" s="120"/>
      <c r="AX121" s="120"/>
      <c r="AY121" s="120"/>
      <c r="AZ121" s="120"/>
      <c r="BA121" s="120"/>
      <c r="BB121" s="120"/>
      <c r="BC121" s="120"/>
      <c r="BD121" s="120"/>
      <c r="BE121" s="120"/>
      <c r="BF121" s="120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20"/>
      <c r="BS121" s="120"/>
      <c r="BT121" s="120"/>
      <c r="BU121" s="120"/>
    </row>
    <row r="122" spans="15:73"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20"/>
      <c r="AV122" s="120"/>
      <c r="AW122" s="120"/>
      <c r="AX122" s="120"/>
      <c r="AY122" s="120"/>
      <c r="AZ122" s="120"/>
      <c r="BA122" s="120"/>
      <c r="BB122" s="120"/>
      <c r="BC122" s="120"/>
      <c r="BD122" s="120"/>
      <c r="BE122" s="120"/>
      <c r="BF122" s="120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20"/>
      <c r="BS122" s="120"/>
      <c r="BT122" s="120"/>
      <c r="BU122" s="120"/>
    </row>
    <row r="123" spans="15:73"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20"/>
      <c r="AV123" s="120"/>
      <c r="AW123" s="120"/>
      <c r="AX123" s="120"/>
      <c r="AY123" s="120"/>
      <c r="AZ123" s="120"/>
      <c r="BA123" s="120"/>
      <c r="BB123" s="120"/>
      <c r="BC123" s="120"/>
      <c r="BD123" s="120"/>
      <c r="BE123" s="120"/>
      <c r="BF123" s="120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20"/>
      <c r="BS123" s="120"/>
      <c r="BT123" s="120"/>
      <c r="BU123" s="120"/>
    </row>
    <row r="124" spans="15:73"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20"/>
      <c r="AV124" s="120"/>
      <c r="AW124" s="120"/>
      <c r="AX124" s="120"/>
      <c r="AY124" s="120"/>
      <c r="AZ124" s="120"/>
      <c r="BA124" s="120"/>
      <c r="BB124" s="120"/>
      <c r="BC124" s="120"/>
      <c r="BD124" s="120"/>
      <c r="BE124" s="120"/>
      <c r="BF124" s="120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20"/>
      <c r="BS124" s="120"/>
      <c r="BT124" s="120"/>
      <c r="BU124" s="120"/>
    </row>
    <row r="125" spans="15:73"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20"/>
      <c r="AV125" s="120"/>
      <c r="AW125" s="120"/>
      <c r="AX125" s="120"/>
      <c r="AY125" s="120"/>
      <c r="AZ125" s="120"/>
      <c r="BA125" s="120"/>
      <c r="BB125" s="120"/>
      <c r="BC125" s="120"/>
      <c r="BD125" s="120"/>
      <c r="BE125" s="120"/>
      <c r="BF125" s="120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20"/>
      <c r="BS125" s="120"/>
      <c r="BT125" s="120"/>
      <c r="BU125" s="120"/>
    </row>
    <row r="126" spans="15:73"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20"/>
      <c r="AV126" s="120"/>
      <c r="AW126" s="120"/>
      <c r="AX126" s="120"/>
      <c r="AY126" s="120"/>
      <c r="AZ126" s="120"/>
      <c r="BA126" s="120"/>
      <c r="BB126" s="120"/>
      <c r="BC126" s="120"/>
      <c r="BD126" s="120"/>
      <c r="BE126" s="120"/>
      <c r="BF126" s="120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20"/>
      <c r="BS126" s="120"/>
      <c r="BT126" s="120"/>
      <c r="BU126" s="120"/>
    </row>
    <row r="127" spans="15:73"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20"/>
      <c r="AV127" s="120"/>
      <c r="AW127" s="120"/>
      <c r="AX127" s="120"/>
      <c r="AY127" s="120"/>
      <c r="AZ127" s="120"/>
      <c r="BA127" s="120"/>
      <c r="BB127" s="120"/>
      <c r="BC127" s="120"/>
      <c r="BD127" s="120"/>
      <c r="BE127" s="120"/>
      <c r="BF127" s="120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20"/>
      <c r="BS127" s="120"/>
      <c r="BT127" s="120"/>
      <c r="BU127" s="120"/>
    </row>
    <row r="128" spans="15:73"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20"/>
      <c r="AV128" s="120"/>
      <c r="AW128" s="120"/>
      <c r="AX128" s="120"/>
      <c r="AY128" s="120"/>
      <c r="AZ128" s="120"/>
      <c r="BA128" s="120"/>
      <c r="BB128" s="120"/>
      <c r="BC128" s="120"/>
      <c r="BD128" s="120"/>
      <c r="BE128" s="120"/>
      <c r="BF128" s="120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20"/>
      <c r="BS128" s="120"/>
      <c r="BT128" s="120"/>
      <c r="BU128" s="120"/>
    </row>
    <row r="129" spans="15:73"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20"/>
      <c r="AV129" s="120"/>
      <c r="AW129" s="120"/>
      <c r="AX129" s="120"/>
      <c r="AY129" s="120"/>
      <c r="AZ129" s="120"/>
      <c r="BA129" s="120"/>
      <c r="BB129" s="120"/>
      <c r="BC129" s="120"/>
      <c r="BD129" s="120"/>
      <c r="BE129" s="120"/>
      <c r="BF129" s="120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20"/>
      <c r="BS129" s="120"/>
      <c r="BT129" s="120"/>
      <c r="BU129" s="120"/>
    </row>
    <row r="130" spans="15:73"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20"/>
      <c r="AV130" s="120"/>
      <c r="AW130" s="120"/>
      <c r="AX130" s="120"/>
      <c r="AY130" s="120"/>
      <c r="AZ130" s="120"/>
      <c r="BA130" s="120"/>
      <c r="BB130" s="120"/>
      <c r="BC130" s="120"/>
      <c r="BD130" s="120"/>
      <c r="BE130" s="120"/>
      <c r="BF130" s="120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20"/>
      <c r="BS130" s="120"/>
      <c r="BT130" s="120"/>
      <c r="BU130" s="120"/>
    </row>
    <row r="131" spans="15:73"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20"/>
      <c r="AV131" s="120"/>
      <c r="AW131" s="120"/>
      <c r="AX131" s="120"/>
      <c r="AY131" s="120"/>
      <c r="AZ131" s="120"/>
      <c r="BA131" s="120"/>
      <c r="BB131" s="120"/>
      <c r="BC131" s="120"/>
      <c r="BD131" s="120"/>
      <c r="BE131" s="120"/>
      <c r="BF131" s="120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20"/>
      <c r="BS131" s="120"/>
      <c r="BT131" s="120"/>
      <c r="BU131" s="120"/>
    </row>
    <row r="132" spans="15:73"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20"/>
      <c r="AV132" s="120"/>
      <c r="AW132" s="120"/>
      <c r="AX132" s="120"/>
      <c r="AY132" s="120"/>
      <c r="AZ132" s="120"/>
      <c r="BA132" s="120"/>
      <c r="BB132" s="120"/>
      <c r="BC132" s="120"/>
      <c r="BD132" s="120"/>
      <c r="BE132" s="120"/>
      <c r="BF132" s="120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20"/>
      <c r="BS132" s="120"/>
      <c r="BT132" s="120"/>
      <c r="BU132" s="120"/>
    </row>
    <row r="133" spans="15:73"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20"/>
      <c r="AV133" s="120"/>
      <c r="AW133" s="120"/>
      <c r="AX133" s="120"/>
      <c r="AY133" s="120"/>
      <c r="AZ133" s="120"/>
      <c r="BA133" s="120"/>
      <c r="BB133" s="120"/>
      <c r="BC133" s="120"/>
      <c r="BD133" s="120"/>
      <c r="BE133" s="120"/>
      <c r="BF133" s="120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20"/>
      <c r="BS133" s="120"/>
      <c r="BT133" s="120"/>
      <c r="BU133" s="120"/>
    </row>
    <row r="134" spans="15:73"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20"/>
      <c r="AV134" s="120"/>
      <c r="AW134" s="120"/>
      <c r="AX134" s="120"/>
      <c r="AY134" s="120"/>
      <c r="AZ134" s="120"/>
      <c r="BA134" s="120"/>
      <c r="BB134" s="120"/>
      <c r="BC134" s="120"/>
      <c r="BD134" s="120"/>
      <c r="BE134" s="120"/>
      <c r="BF134" s="120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20"/>
      <c r="BS134" s="120"/>
      <c r="BT134" s="120"/>
      <c r="BU134" s="120"/>
    </row>
    <row r="135" spans="15:73"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20"/>
      <c r="AV135" s="120"/>
      <c r="AW135" s="120"/>
      <c r="AX135" s="120"/>
      <c r="AY135" s="120"/>
      <c r="AZ135" s="120"/>
      <c r="BA135" s="120"/>
      <c r="BB135" s="120"/>
      <c r="BC135" s="120"/>
      <c r="BD135" s="120"/>
      <c r="BE135" s="120"/>
      <c r="BF135" s="120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20"/>
      <c r="BS135" s="120"/>
      <c r="BT135" s="120"/>
      <c r="BU135" s="120"/>
    </row>
    <row r="136" spans="15:73"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20"/>
      <c r="AV136" s="120"/>
      <c r="AW136" s="120"/>
      <c r="AX136" s="120"/>
      <c r="AY136" s="120"/>
      <c r="AZ136" s="120"/>
      <c r="BA136" s="120"/>
      <c r="BB136" s="120"/>
      <c r="BC136" s="120"/>
      <c r="BD136" s="120"/>
      <c r="BE136" s="120"/>
      <c r="BF136" s="120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20"/>
      <c r="BS136" s="120"/>
      <c r="BT136" s="120"/>
      <c r="BU136" s="120"/>
    </row>
    <row r="137" spans="15:73"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20"/>
      <c r="AV137" s="120"/>
      <c r="AW137" s="120"/>
      <c r="AX137" s="120"/>
      <c r="AY137" s="120"/>
      <c r="AZ137" s="120"/>
      <c r="BA137" s="120"/>
      <c r="BB137" s="120"/>
      <c r="BC137" s="120"/>
      <c r="BD137" s="120"/>
      <c r="BE137" s="120"/>
      <c r="BF137" s="120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20"/>
      <c r="BS137" s="120"/>
      <c r="BT137" s="120"/>
      <c r="BU137" s="120"/>
    </row>
    <row r="138" spans="15:73"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20"/>
      <c r="AV138" s="120"/>
      <c r="AW138" s="120"/>
      <c r="AX138" s="120"/>
      <c r="AY138" s="120"/>
      <c r="AZ138" s="120"/>
      <c r="BA138" s="120"/>
      <c r="BB138" s="120"/>
      <c r="BC138" s="120"/>
      <c r="BD138" s="120"/>
      <c r="BE138" s="120"/>
      <c r="BF138" s="120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20"/>
      <c r="BS138" s="120"/>
      <c r="BT138" s="120"/>
      <c r="BU138" s="120"/>
    </row>
    <row r="139" spans="15:73"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  <c r="BC139" s="120"/>
      <c r="BD139" s="120"/>
      <c r="BE139" s="120"/>
      <c r="BF139" s="120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20"/>
      <c r="BS139" s="120"/>
      <c r="BT139" s="120"/>
      <c r="BU139" s="120"/>
    </row>
    <row r="140" spans="15:73"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120"/>
      <c r="BA140" s="120"/>
      <c r="BB140" s="120"/>
      <c r="BC140" s="120"/>
      <c r="BD140" s="120"/>
      <c r="BE140" s="120"/>
      <c r="BF140" s="120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20"/>
      <c r="BS140" s="120"/>
      <c r="BT140" s="120"/>
      <c r="BU140" s="120"/>
    </row>
    <row r="141" spans="15:73"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20"/>
      <c r="AV141" s="120"/>
      <c r="AW141" s="120"/>
      <c r="AX141" s="120"/>
      <c r="AY141" s="120"/>
      <c r="AZ141" s="120"/>
      <c r="BA141" s="120"/>
      <c r="BB141" s="120"/>
      <c r="BC141" s="120"/>
      <c r="BD141" s="120"/>
      <c r="BE141" s="120"/>
      <c r="BF141" s="120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20"/>
      <c r="BS141" s="120"/>
      <c r="BT141" s="120"/>
      <c r="BU141" s="120"/>
    </row>
    <row r="142" spans="15:73"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20"/>
      <c r="AV142" s="120"/>
      <c r="AW142" s="120"/>
      <c r="AX142" s="120"/>
      <c r="AY142" s="120"/>
      <c r="AZ142" s="120"/>
      <c r="BA142" s="120"/>
      <c r="BB142" s="120"/>
      <c r="BC142" s="120"/>
      <c r="BD142" s="120"/>
      <c r="BE142" s="120"/>
      <c r="BF142" s="120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20"/>
      <c r="BS142" s="120"/>
      <c r="BT142" s="120"/>
      <c r="BU142" s="120"/>
    </row>
    <row r="143" spans="15:73"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0"/>
      <c r="BC143" s="120"/>
      <c r="BD143" s="120"/>
      <c r="BE143" s="120"/>
      <c r="BF143" s="120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20"/>
      <c r="BS143" s="120"/>
      <c r="BT143" s="120"/>
      <c r="BU143" s="120"/>
    </row>
    <row r="144" spans="15:73"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20"/>
      <c r="AV144" s="120"/>
      <c r="AW144" s="120"/>
      <c r="AX144" s="120"/>
      <c r="AY144" s="120"/>
      <c r="AZ144" s="120"/>
      <c r="BA144" s="120"/>
      <c r="BB144" s="120"/>
      <c r="BC144" s="120"/>
      <c r="BD144" s="120"/>
      <c r="BE144" s="120"/>
      <c r="BF144" s="120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20"/>
      <c r="BS144" s="120"/>
      <c r="BT144" s="120"/>
      <c r="BU144" s="120"/>
    </row>
    <row r="145" spans="15:73"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20"/>
      <c r="AV145" s="120"/>
      <c r="AW145" s="120"/>
      <c r="AX145" s="120"/>
      <c r="AY145" s="120"/>
      <c r="AZ145" s="120"/>
      <c r="BA145" s="120"/>
      <c r="BB145" s="120"/>
      <c r="BC145" s="120"/>
      <c r="BD145" s="120"/>
      <c r="BE145" s="120"/>
      <c r="BF145" s="120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20"/>
      <c r="BS145" s="120"/>
      <c r="BT145" s="120"/>
      <c r="BU145" s="120"/>
    </row>
    <row r="146" spans="15:73"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120"/>
      <c r="BC146" s="120"/>
      <c r="BD146" s="120"/>
      <c r="BE146" s="120"/>
      <c r="BF146" s="120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20"/>
      <c r="BS146" s="120"/>
      <c r="BT146" s="120"/>
      <c r="BU146" s="120"/>
    </row>
    <row r="147" spans="15:73"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20"/>
      <c r="AV147" s="120"/>
      <c r="AW147" s="120"/>
      <c r="AX147" s="120"/>
      <c r="AY147" s="120"/>
      <c r="AZ147" s="120"/>
      <c r="BA147" s="120"/>
      <c r="BB147" s="120"/>
      <c r="BC147" s="120"/>
      <c r="BD147" s="120"/>
      <c r="BE147" s="120"/>
      <c r="BF147" s="120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20"/>
      <c r="BS147" s="120"/>
      <c r="BT147" s="120"/>
      <c r="BU147" s="120"/>
    </row>
    <row r="148" spans="15:73"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20"/>
      <c r="AV148" s="120"/>
      <c r="AW148" s="120"/>
      <c r="AX148" s="120"/>
      <c r="AY148" s="120"/>
      <c r="AZ148" s="120"/>
      <c r="BA148" s="120"/>
      <c r="BB148" s="120"/>
      <c r="BC148" s="120"/>
      <c r="BD148" s="120"/>
      <c r="BE148" s="120"/>
      <c r="BF148" s="120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20"/>
      <c r="BS148" s="120"/>
      <c r="BT148" s="120"/>
      <c r="BU148" s="120"/>
    </row>
    <row r="149" spans="15:73"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20"/>
      <c r="AV149" s="120"/>
      <c r="AW149" s="120"/>
      <c r="AX149" s="120"/>
      <c r="AY149" s="120"/>
      <c r="AZ149" s="120"/>
      <c r="BA149" s="120"/>
      <c r="BB149" s="120"/>
      <c r="BC149" s="120"/>
      <c r="BD149" s="120"/>
      <c r="BE149" s="120"/>
      <c r="BF149" s="120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20"/>
      <c r="BS149" s="120"/>
      <c r="BT149" s="120"/>
      <c r="BU149" s="120"/>
    </row>
    <row r="150" spans="15:73"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  <c r="BC150" s="120"/>
      <c r="BD150" s="120"/>
      <c r="BE150" s="120"/>
      <c r="BF150" s="120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20"/>
      <c r="BS150" s="120"/>
      <c r="BT150" s="120"/>
      <c r="BU150" s="120"/>
    </row>
    <row r="151" spans="15:73"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20"/>
      <c r="AV151" s="120"/>
      <c r="AW151" s="120"/>
      <c r="AX151" s="120"/>
      <c r="AY151" s="120"/>
      <c r="AZ151" s="120"/>
      <c r="BA151" s="120"/>
      <c r="BB151" s="120"/>
      <c r="BC151" s="120"/>
      <c r="BD151" s="120"/>
      <c r="BE151" s="120"/>
      <c r="BF151" s="120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20"/>
      <c r="BS151" s="120"/>
      <c r="BT151" s="120"/>
      <c r="BU151" s="120"/>
    </row>
    <row r="152" spans="15:73"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20"/>
      <c r="AV152" s="120"/>
      <c r="AW152" s="120"/>
      <c r="AX152" s="120"/>
      <c r="AY152" s="120"/>
      <c r="AZ152" s="120"/>
      <c r="BA152" s="120"/>
      <c r="BB152" s="120"/>
      <c r="BC152" s="120"/>
      <c r="BD152" s="120"/>
      <c r="BE152" s="120"/>
      <c r="BF152" s="120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20"/>
      <c r="BS152" s="120"/>
      <c r="BT152" s="120"/>
      <c r="BU152" s="120"/>
    </row>
    <row r="153" spans="15:73"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20"/>
      <c r="AV153" s="120"/>
      <c r="AW153" s="120"/>
      <c r="AX153" s="120"/>
      <c r="AY153" s="120"/>
      <c r="AZ153" s="120"/>
      <c r="BA153" s="120"/>
      <c r="BB153" s="120"/>
      <c r="BC153" s="120"/>
      <c r="BD153" s="120"/>
      <c r="BE153" s="120"/>
      <c r="BF153" s="120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20"/>
      <c r="BS153" s="120"/>
      <c r="BT153" s="120"/>
      <c r="BU153" s="120"/>
    </row>
    <row r="154" spans="15:73"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20"/>
      <c r="AV154" s="120"/>
      <c r="AW154" s="120"/>
      <c r="AX154" s="120"/>
      <c r="AY154" s="120"/>
      <c r="AZ154" s="120"/>
      <c r="BA154" s="120"/>
      <c r="BB154" s="120"/>
      <c r="BC154" s="120"/>
      <c r="BD154" s="120"/>
      <c r="BE154" s="120"/>
      <c r="BF154" s="120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20"/>
      <c r="BS154" s="120"/>
      <c r="BT154" s="120"/>
      <c r="BU154" s="120"/>
    </row>
    <row r="155" spans="15:73"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20"/>
      <c r="AV155" s="120"/>
      <c r="AW155" s="120"/>
      <c r="AX155" s="120"/>
      <c r="AY155" s="120"/>
      <c r="AZ155" s="120"/>
      <c r="BA155" s="120"/>
      <c r="BB155" s="120"/>
      <c r="BC155" s="120"/>
      <c r="BD155" s="120"/>
      <c r="BE155" s="120"/>
      <c r="BF155" s="120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20"/>
      <c r="BS155" s="120"/>
      <c r="BT155" s="120"/>
      <c r="BU155" s="120"/>
    </row>
    <row r="156" spans="15:73"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20"/>
      <c r="AV156" s="120"/>
      <c r="AW156" s="120"/>
      <c r="AX156" s="120"/>
      <c r="AY156" s="120"/>
      <c r="AZ156" s="120"/>
      <c r="BA156" s="120"/>
      <c r="BB156" s="120"/>
      <c r="BC156" s="120"/>
      <c r="BD156" s="120"/>
      <c r="BE156" s="120"/>
      <c r="BF156" s="120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20"/>
      <c r="BS156" s="120"/>
      <c r="BT156" s="120"/>
      <c r="BU156" s="120"/>
    </row>
    <row r="157" spans="15:73"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20"/>
      <c r="AV157" s="120"/>
      <c r="AW157" s="120"/>
      <c r="AX157" s="120"/>
      <c r="AY157" s="120"/>
      <c r="AZ157" s="120"/>
      <c r="BA157" s="120"/>
      <c r="BB157" s="120"/>
      <c r="BC157" s="120"/>
      <c r="BD157" s="120"/>
      <c r="BE157" s="120"/>
      <c r="BF157" s="120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20"/>
      <c r="BS157" s="120"/>
      <c r="BT157" s="120"/>
      <c r="BU157" s="120"/>
    </row>
    <row r="158" spans="15:73"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20"/>
      <c r="AV158" s="120"/>
      <c r="AW158" s="120"/>
      <c r="AX158" s="120"/>
      <c r="AY158" s="120"/>
      <c r="AZ158" s="120"/>
      <c r="BA158" s="120"/>
      <c r="BB158" s="120"/>
      <c r="BC158" s="120"/>
      <c r="BD158" s="120"/>
      <c r="BE158" s="120"/>
      <c r="BF158" s="120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20"/>
      <c r="BS158" s="120"/>
      <c r="BT158" s="120"/>
      <c r="BU158" s="120"/>
    </row>
    <row r="159" spans="15:73"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20"/>
      <c r="AV159" s="120"/>
      <c r="AW159" s="120"/>
      <c r="AX159" s="120"/>
      <c r="AY159" s="120"/>
      <c r="AZ159" s="120"/>
      <c r="BA159" s="120"/>
      <c r="BB159" s="120"/>
      <c r="BC159" s="120"/>
      <c r="BD159" s="120"/>
      <c r="BE159" s="120"/>
      <c r="BF159" s="120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20"/>
      <c r="BS159" s="120"/>
      <c r="BT159" s="120"/>
      <c r="BU159" s="120"/>
    </row>
    <row r="160" spans="15:73"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20"/>
      <c r="AV160" s="120"/>
      <c r="AW160" s="120"/>
      <c r="AX160" s="120"/>
      <c r="AY160" s="120"/>
      <c r="AZ160" s="120"/>
      <c r="BA160" s="120"/>
      <c r="BB160" s="120"/>
      <c r="BC160" s="120"/>
      <c r="BD160" s="120"/>
      <c r="BE160" s="120"/>
      <c r="BF160" s="120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20"/>
      <c r="BS160" s="120"/>
      <c r="BT160" s="120"/>
      <c r="BU160" s="120"/>
    </row>
    <row r="161" spans="15:73"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20"/>
      <c r="AV161" s="120"/>
      <c r="AW161" s="120"/>
      <c r="AX161" s="120"/>
      <c r="AY161" s="120"/>
      <c r="AZ161" s="120"/>
      <c r="BA161" s="120"/>
      <c r="BB161" s="120"/>
      <c r="BC161" s="120"/>
      <c r="BD161" s="120"/>
      <c r="BE161" s="120"/>
      <c r="BF161" s="120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20"/>
      <c r="BS161" s="120"/>
      <c r="BT161" s="120"/>
      <c r="BU161" s="120"/>
    </row>
    <row r="162" spans="15:73"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20"/>
      <c r="AV162" s="120"/>
      <c r="AW162" s="120"/>
      <c r="AX162" s="120"/>
      <c r="AY162" s="120"/>
      <c r="AZ162" s="120"/>
      <c r="BA162" s="120"/>
      <c r="BB162" s="120"/>
      <c r="BC162" s="120"/>
      <c r="BD162" s="120"/>
      <c r="BE162" s="120"/>
      <c r="BF162" s="120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20"/>
      <c r="BS162" s="120"/>
      <c r="BT162" s="120"/>
      <c r="BU162" s="120"/>
    </row>
    <row r="163" spans="15:73"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20"/>
      <c r="AV163" s="120"/>
      <c r="AW163" s="120"/>
      <c r="AX163" s="120"/>
      <c r="AY163" s="120"/>
      <c r="AZ163" s="120"/>
      <c r="BA163" s="120"/>
      <c r="BB163" s="120"/>
      <c r="BC163" s="120"/>
      <c r="BD163" s="120"/>
      <c r="BE163" s="120"/>
      <c r="BF163" s="120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20"/>
      <c r="BS163" s="120"/>
      <c r="BT163" s="120"/>
      <c r="BU163" s="120"/>
    </row>
    <row r="164" spans="15:73"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20"/>
      <c r="AV164" s="120"/>
      <c r="AW164" s="120"/>
      <c r="AX164" s="120"/>
      <c r="AY164" s="120"/>
      <c r="AZ164" s="120"/>
      <c r="BA164" s="120"/>
      <c r="BB164" s="120"/>
      <c r="BC164" s="120"/>
      <c r="BD164" s="120"/>
      <c r="BE164" s="120"/>
      <c r="BF164" s="120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20"/>
      <c r="BS164" s="120"/>
      <c r="BT164" s="120"/>
      <c r="BU164" s="120"/>
    </row>
    <row r="165" spans="15:73"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20"/>
      <c r="AV165" s="120"/>
      <c r="AW165" s="120"/>
      <c r="AX165" s="120"/>
      <c r="AY165" s="120"/>
      <c r="AZ165" s="120"/>
      <c r="BA165" s="120"/>
      <c r="BB165" s="120"/>
      <c r="BC165" s="120"/>
      <c r="BD165" s="120"/>
      <c r="BE165" s="120"/>
      <c r="BF165" s="120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20"/>
      <c r="BS165" s="120"/>
      <c r="BT165" s="120"/>
      <c r="BU165" s="120"/>
    </row>
    <row r="166" spans="15:73"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20"/>
      <c r="AV166" s="120"/>
      <c r="AW166" s="120"/>
      <c r="AX166" s="120"/>
      <c r="AY166" s="120"/>
      <c r="AZ166" s="120"/>
      <c r="BA166" s="120"/>
      <c r="BB166" s="120"/>
      <c r="BC166" s="120"/>
      <c r="BD166" s="120"/>
      <c r="BE166" s="120"/>
      <c r="BF166" s="120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20"/>
      <c r="BS166" s="120"/>
      <c r="BT166" s="120"/>
      <c r="BU166" s="120"/>
    </row>
    <row r="167" spans="15:73"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20"/>
      <c r="AV167" s="120"/>
      <c r="AW167" s="120"/>
      <c r="AX167" s="120"/>
      <c r="AY167" s="120"/>
      <c r="AZ167" s="120"/>
      <c r="BA167" s="120"/>
      <c r="BB167" s="120"/>
      <c r="BC167" s="120"/>
      <c r="BD167" s="120"/>
      <c r="BE167" s="120"/>
      <c r="BF167" s="120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20"/>
      <c r="BS167" s="120"/>
      <c r="BT167" s="120"/>
      <c r="BU167" s="120"/>
    </row>
    <row r="168" spans="15:73"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20"/>
      <c r="AV168" s="120"/>
      <c r="AW168" s="120"/>
      <c r="AX168" s="120"/>
      <c r="AY168" s="120"/>
      <c r="AZ168" s="120"/>
      <c r="BA168" s="120"/>
      <c r="BB168" s="120"/>
      <c r="BC168" s="120"/>
      <c r="BD168" s="120"/>
      <c r="BE168" s="120"/>
      <c r="BF168" s="120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20"/>
      <c r="BS168" s="120"/>
      <c r="BT168" s="120"/>
      <c r="BU168" s="120"/>
    </row>
    <row r="169" spans="15:73"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20"/>
      <c r="AV169" s="120"/>
      <c r="AW169" s="120"/>
      <c r="AX169" s="120"/>
      <c r="AY169" s="120"/>
      <c r="AZ169" s="120"/>
      <c r="BA169" s="120"/>
      <c r="BB169" s="120"/>
      <c r="BC169" s="120"/>
      <c r="BD169" s="120"/>
      <c r="BE169" s="120"/>
      <c r="BF169" s="120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20"/>
      <c r="BS169" s="120"/>
      <c r="BT169" s="120"/>
      <c r="BU169" s="120"/>
    </row>
    <row r="170" spans="15:73"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20"/>
      <c r="AV170" s="120"/>
      <c r="AW170" s="120"/>
      <c r="AX170" s="120"/>
      <c r="AY170" s="120"/>
      <c r="AZ170" s="120"/>
      <c r="BA170" s="120"/>
      <c r="BB170" s="120"/>
      <c r="BC170" s="120"/>
      <c r="BD170" s="120"/>
      <c r="BE170" s="120"/>
      <c r="BF170" s="120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20"/>
      <c r="BS170" s="120"/>
      <c r="BT170" s="120"/>
      <c r="BU170" s="120"/>
    </row>
    <row r="171" spans="15:73"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20"/>
      <c r="AV171" s="120"/>
      <c r="AW171" s="120"/>
      <c r="AX171" s="120"/>
      <c r="AY171" s="120"/>
      <c r="AZ171" s="120"/>
      <c r="BA171" s="120"/>
      <c r="BB171" s="120"/>
      <c r="BC171" s="120"/>
      <c r="BD171" s="120"/>
      <c r="BE171" s="120"/>
      <c r="BF171" s="120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20"/>
      <c r="BS171" s="120"/>
      <c r="BT171" s="120"/>
      <c r="BU171" s="120"/>
    </row>
    <row r="172" spans="15:73"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20"/>
      <c r="AV172" s="120"/>
      <c r="AW172" s="120"/>
      <c r="AX172" s="120"/>
      <c r="AY172" s="120"/>
      <c r="AZ172" s="120"/>
      <c r="BA172" s="120"/>
      <c r="BB172" s="120"/>
      <c r="BC172" s="120"/>
      <c r="BD172" s="120"/>
      <c r="BE172" s="120"/>
      <c r="BF172" s="120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20"/>
      <c r="BS172" s="120"/>
      <c r="BT172" s="120"/>
      <c r="BU172" s="120"/>
    </row>
    <row r="173" spans="15:73"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20"/>
      <c r="AV173" s="120"/>
      <c r="AW173" s="120"/>
      <c r="AX173" s="120"/>
      <c r="AY173" s="120"/>
      <c r="AZ173" s="120"/>
      <c r="BA173" s="120"/>
      <c r="BB173" s="120"/>
      <c r="BC173" s="120"/>
      <c r="BD173" s="120"/>
      <c r="BE173" s="120"/>
      <c r="BF173" s="120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20"/>
      <c r="BS173" s="120"/>
      <c r="BT173" s="120"/>
      <c r="BU173" s="120"/>
    </row>
    <row r="174" spans="15:73"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20"/>
      <c r="AV174" s="120"/>
      <c r="AW174" s="120"/>
      <c r="AX174" s="120"/>
      <c r="AY174" s="120"/>
      <c r="AZ174" s="120"/>
      <c r="BA174" s="120"/>
      <c r="BB174" s="120"/>
      <c r="BC174" s="120"/>
      <c r="BD174" s="120"/>
      <c r="BE174" s="120"/>
      <c r="BF174" s="120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20"/>
      <c r="BS174" s="120"/>
      <c r="BT174" s="120"/>
      <c r="BU174" s="120"/>
    </row>
    <row r="175" spans="15:73"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20"/>
      <c r="AV175" s="120"/>
      <c r="AW175" s="120"/>
      <c r="AX175" s="120"/>
      <c r="AY175" s="120"/>
      <c r="AZ175" s="120"/>
      <c r="BA175" s="120"/>
      <c r="BB175" s="120"/>
      <c r="BC175" s="120"/>
      <c r="BD175" s="120"/>
      <c r="BE175" s="120"/>
      <c r="BF175" s="120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20"/>
      <c r="BS175" s="120"/>
      <c r="BT175" s="120"/>
      <c r="BU175" s="120"/>
    </row>
    <row r="176" spans="15:73"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20"/>
      <c r="AV176" s="120"/>
      <c r="AW176" s="120"/>
      <c r="AX176" s="120"/>
      <c r="AY176" s="120"/>
      <c r="AZ176" s="120"/>
      <c r="BA176" s="120"/>
      <c r="BB176" s="120"/>
      <c r="BC176" s="120"/>
      <c r="BD176" s="120"/>
      <c r="BE176" s="120"/>
      <c r="BF176" s="120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20"/>
      <c r="BS176" s="120"/>
      <c r="BT176" s="120"/>
      <c r="BU176" s="120"/>
    </row>
    <row r="177" spans="15:73"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20"/>
      <c r="AV177" s="120"/>
      <c r="AW177" s="120"/>
      <c r="AX177" s="120"/>
      <c r="AY177" s="120"/>
      <c r="AZ177" s="120"/>
      <c r="BA177" s="120"/>
      <c r="BB177" s="120"/>
      <c r="BC177" s="120"/>
      <c r="BD177" s="120"/>
      <c r="BE177" s="120"/>
      <c r="BF177" s="120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20"/>
      <c r="BS177" s="120"/>
      <c r="BT177" s="120"/>
      <c r="BU177" s="120"/>
    </row>
    <row r="178" spans="15:73"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20"/>
      <c r="AV178" s="120"/>
      <c r="AW178" s="120"/>
      <c r="AX178" s="120"/>
      <c r="AY178" s="120"/>
      <c r="AZ178" s="120"/>
      <c r="BA178" s="120"/>
      <c r="BB178" s="120"/>
      <c r="BC178" s="120"/>
      <c r="BD178" s="120"/>
      <c r="BE178" s="120"/>
      <c r="BF178" s="120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20"/>
      <c r="BS178" s="120"/>
      <c r="BT178" s="120"/>
      <c r="BU178" s="120"/>
    </row>
    <row r="179" spans="15:73"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20"/>
      <c r="AV179" s="120"/>
      <c r="AW179" s="120"/>
      <c r="AX179" s="120"/>
      <c r="AY179" s="120"/>
      <c r="AZ179" s="120"/>
      <c r="BA179" s="120"/>
      <c r="BB179" s="120"/>
      <c r="BC179" s="120"/>
      <c r="BD179" s="120"/>
      <c r="BE179" s="120"/>
      <c r="BF179" s="120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20"/>
      <c r="BS179" s="120"/>
      <c r="BT179" s="120"/>
      <c r="BU179" s="120"/>
    </row>
    <row r="180" spans="15:73"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20"/>
      <c r="AV180" s="120"/>
      <c r="AW180" s="120"/>
      <c r="AX180" s="120"/>
      <c r="AY180" s="120"/>
      <c r="AZ180" s="120"/>
      <c r="BA180" s="120"/>
      <c r="BB180" s="120"/>
      <c r="BC180" s="120"/>
      <c r="BD180" s="120"/>
      <c r="BE180" s="120"/>
      <c r="BF180" s="120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20"/>
      <c r="BS180" s="120"/>
      <c r="BT180" s="120"/>
      <c r="BU180" s="120"/>
    </row>
    <row r="181" spans="15:73"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20"/>
      <c r="AV181" s="120"/>
      <c r="AW181" s="120"/>
      <c r="AX181" s="120"/>
      <c r="AY181" s="120"/>
      <c r="AZ181" s="120"/>
      <c r="BA181" s="120"/>
      <c r="BB181" s="120"/>
      <c r="BC181" s="120"/>
      <c r="BD181" s="120"/>
      <c r="BE181" s="120"/>
      <c r="BF181" s="120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20"/>
      <c r="BS181" s="120"/>
      <c r="BT181" s="120"/>
      <c r="BU181" s="120"/>
    </row>
    <row r="182" spans="15:73"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20"/>
      <c r="AV182" s="120"/>
      <c r="AW182" s="120"/>
      <c r="AX182" s="120"/>
      <c r="AY182" s="120"/>
      <c r="AZ182" s="120"/>
      <c r="BA182" s="120"/>
      <c r="BB182" s="120"/>
      <c r="BC182" s="120"/>
      <c r="BD182" s="120"/>
      <c r="BE182" s="120"/>
      <c r="BF182" s="120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20"/>
      <c r="BS182" s="120"/>
      <c r="BT182" s="120"/>
      <c r="BU182" s="120"/>
    </row>
    <row r="183" spans="15:73"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20"/>
      <c r="AV183" s="120"/>
      <c r="AW183" s="120"/>
      <c r="AX183" s="120"/>
      <c r="AY183" s="120"/>
      <c r="AZ183" s="120"/>
      <c r="BA183" s="120"/>
      <c r="BB183" s="120"/>
      <c r="BC183" s="120"/>
      <c r="BD183" s="120"/>
      <c r="BE183" s="120"/>
      <c r="BF183" s="120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20"/>
      <c r="BS183" s="120"/>
      <c r="BT183" s="120"/>
      <c r="BU183" s="120"/>
    </row>
    <row r="184" spans="15:73"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20"/>
      <c r="AV184" s="120"/>
      <c r="AW184" s="120"/>
      <c r="AX184" s="120"/>
      <c r="AY184" s="120"/>
      <c r="AZ184" s="120"/>
      <c r="BA184" s="120"/>
      <c r="BB184" s="120"/>
      <c r="BC184" s="120"/>
      <c r="BD184" s="120"/>
      <c r="BE184" s="120"/>
      <c r="BF184" s="120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20"/>
      <c r="BS184" s="120"/>
      <c r="BT184" s="120"/>
      <c r="BU184" s="120"/>
    </row>
    <row r="185" spans="15:73"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20"/>
      <c r="AV185" s="120"/>
      <c r="AW185" s="120"/>
      <c r="AX185" s="120"/>
      <c r="AY185" s="120"/>
      <c r="AZ185" s="120"/>
      <c r="BA185" s="120"/>
      <c r="BB185" s="120"/>
      <c r="BC185" s="120"/>
      <c r="BD185" s="120"/>
      <c r="BE185" s="120"/>
      <c r="BF185" s="120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20"/>
      <c r="BS185" s="120"/>
      <c r="BT185" s="120"/>
      <c r="BU185" s="120"/>
    </row>
    <row r="186" spans="15:73"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20"/>
      <c r="AV186" s="120"/>
      <c r="AW186" s="120"/>
      <c r="AX186" s="120"/>
      <c r="AY186" s="120"/>
      <c r="AZ186" s="120"/>
      <c r="BA186" s="120"/>
      <c r="BB186" s="120"/>
      <c r="BC186" s="120"/>
      <c r="BD186" s="120"/>
      <c r="BE186" s="120"/>
      <c r="BF186" s="120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20"/>
      <c r="BS186" s="120"/>
      <c r="BT186" s="120"/>
      <c r="BU186" s="120"/>
    </row>
    <row r="187" spans="15:73"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20"/>
      <c r="AV187" s="120"/>
      <c r="AW187" s="120"/>
      <c r="AX187" s="120"/>
      <c r="AY187" s="120"/>
      <c r="AZ187" s="120"/>
      <c r="BA187" s="120"/>
      <c r="BB187" s="120"/>
      <c r="BC187" s="120"/>
      <c r="BD187" s="120"/>
      <c r="BE187" s="120"/>
      <c r="BF187" s="120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20"/>
      <c r="BS187" s="120"/>
      <c r="BT187" s="120"/>
      <c r="BU187" s="120"/>
    </row>
    <row r="188" spans="15:73"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20"/>
      <c r="AV188" s="120"/>
      <c r="AW188" s="120"/>
      <c r="AX188" s="120"/>
      <c r="AY188" s="120"/>
      <c r="AZ188" s="120"/>
      <c r="BA188" s="120"/>
      <c r="BB188" s="120"/>
      <c r="BC188" s="120"/>
      <c r="BD188" s="120"/>
      <c r="BE188" s="120"/>
      <c r="BF188" s="120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20"/>
      <c r="BS188" s="120"/>
      <c r="BT188" s="120"/>
      <c r="BU188" s="120"/>
    </row>
    <row r="189" spans="15:73"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20"/>
      <c r="AV189" s="120"/>
      <c r="AW189" s="120"/>
      <c r="AX189" s="120"/>
      <c r="AY189" s="120"/>
      <c r="AZ189" s="120"/>
      <c r="BA189" s="120"/>
      <c r="BB189" s="120"/>
      <c r="BC189" s="120"/>
      <c r="BD189" s="120"/>
      <c r="BE189" s="120"/>
      <c r="BF189" s="120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20"/>
      <c r="BS189" s="120"/>
      <c r="BT189" s="120"/>
      <c r="BU189" s="120"/>
    </row>
    <row r="190" spans="15:73"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20"/>
      <c r="AV190" s="120"/>
      <c r="AW190" s="120"/>
      <c r="AX190" s="120"/>
      <c r="AY190" s="120"/>
      <c r="AZ190" s="120"/>
      <c r="BA190" s="120"/>
      <c r="BB190" s="120"/>
      <c r="BC190" s="120"/>
      <c r="BD190" s="120"/>
      <c r="BE190" s="120"/>
      <c r="BF190" s="120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20"/>
      <c r="BS190" s="120"/>
      <c r="BT190" s="120"/>
      <c r="BU190" s="120"/>
    </row>
    <row r="191" spans="15:73"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20"/>
      <c r="AV191" s="120"/>
      <c r="AW191" s="120"/>
      <c r="AX191" s="120"/>
      <c r="AY191" s="120"/>
      <c r="AZ191" s="120"/>
      <c r="BA191" s="120"/>
      <c r="BB191" s="120"/>
      <c r="BC191" s="120"/>
      <c r="BD191" s="120"/>
      <c r="BE191" s="120"/>
      <c r="BF191" s="120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20"/>
      <c r="BS191" s="120"/>
      <c r="BT191" s="120"/>
      <c r="BU191" s="120"/>
    </row>
    <row r="192" spans="15:73"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20"/>
      <c r="AV192" s="120"/>
      <c r="AW192" s="120"/>
      <c r="AX192" s="120"/>
      <c r="AY192" s="120"/>
      <c r="AZ192" s="120"/>
      <c r="BA192" s="120"/>
      <c r="BB192" s="120"/>
      <c r="BC192" s="120"/>
      <c r="BD192" s="120"/>
      <c r="BE192" s="120"/>
      <c r="BF192" s="120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20"/>
      <c r="BS192" s="120"/>
      <c r="BT192" s="120"/>
      <c r="BU192" s="120"/>
    </row>
    <row r="193" spans="15:73"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20"/>
      <c r="AV193" s="120"/>
      <c r="AW193" s="120"/>
      <c r="AX193" s="120"/>
      <c r="AY193" s="120"/>
      <c r="AZ193" s="120"/>
      <c r="BA193" s="120"/>
      <c r="BB193" s="120"/>
      <c r="BC193" s="120"/>
      <c r="BD193" s="120"/>
      <c r="BE193" s="120"/>
      <c r="BF193" s="120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20"/>
      <c r="BS193" s="120"/>
      <c r="BT193" s="120"/>
      <c r="BU193" s="120"/>
    </row>
    <row r="194" spans="15:73"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20"/>
      <c r="AV194" s="120"/>
      <c r="AW194" s="120"/>
      <c r="AX194" s="120"/>
      <c r="AY194" s="120"/>
      <c r="AZ194" s="120"/>
      <c r="BA194" s="120"/>
      <c r="BB194" s="120"/>
      <c r="BC194" s="120"/>
      <c r="BD194" s="120"/>
      <c r="BE194" s="120"/>
      <c r="BF194" s="120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20"/>
      <c r="BS194" s="120"/>
      <c r="BT194" s="120"/>
      <c r="BU194" s="120"/>
    </row>
    <row r="195" spans="15:73"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20"/>
      <c r="AV195" s="120"/>
      <c r="AW195" s="120"/>
      <c r="AX195" s="120"/>
      <c r="AY195" s="120"/>
      <c r="AZ195" s="120"/>
      <c r="BA195" s="120"/>
      <c r="BB195" s="120"/>
      <c r="BC195" s="120"/>
      <c r="BD195" s="120"/>
      <c r="BE195" s="120"/>
      <c r="BF195" s="120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20"/>
      <c r="BS195" s="120"/>
      <c r="BT195" s="120"/>
      <c r="BU195" s="120"/>
    </row>
    <row r="196" spans="15:73"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20"/>
      <c r="AV196" s="120"/>
      <c r="AW196" s="120"/>
      <c r="AX196" s="120"/>
      <c r="AY196" s="120"/>
      <c r="AZ196" s="120"/>
      <c r="BA196" s="120"/>
      <c r="BB196" s="120"/>
      <c r="BC196" s="120"/>
      <c r="BD196" s="120"/>
      <c r="BE196" s="120"/>
      <c r="BF196" s="120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20"/>
      <c r="BS196" s="120"/>
      <c r="BT196" s="120"/>
      <c r="BU196" s="120"/>
    </row>
    <row r="197" spans="15:73"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20"/>
      <c r="AV197" s="120"/>
      <c r="AW197" s="120"/>
      <c r="AX197" s="120"/>
      <c r="AY197" s="120"/>
      <c r="AZ197" s="120"/>
      <c r="BA197" s="120"/>
      <c r="BB197" s="120"/>
      <c r="BC197" s="120"/>
      <c r="BD197" s="120"/>
      <c r="BE197" s="120"/>
      <c r="BF197" s="120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20"/>
      <c r="BS197" s="120"/>
      <c r="BT197" s="120"/>
      <c r="BU197" s="120"/>
    </row>
    <row r="198" spans="15:73"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20"/>
      <c r="AV198" s="120"/>
      <c r="AW198" s="120"/>
      <c r="AX198" s="120"/>
      <c r="AY198" s="120"/>
      <c r="AZ198" s="120"/>
      <c r="BA198" s="120"/>
      <c r="BB198" s="120"/>
      <c r="BC198" s="120"/>
      <c r="BD198" s="120"/>
      <c r="BE198" s="120"/>
      <c r="BF198" s="120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20"/>
      <c r="BS198" s="120"/>
      <c r="BT198" s="120"/>
      <c r="BU198" s="120"/>
    </row>
    <row r="199" spans="15:73"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20"/>
      <c r="AV199" s="120"/>
      <c r="AW199" s="120"/>
      <c r="AX199" s="120"/>
      <c r="AY199" s="120"/>
      <c r="AZ199" s="120"/>
      <c r="BA199" s="120"/>
      <c r="BB199" s="120"/>
      <c r="BC199" s="120"/>
      <c r="BD199" s="120"/>
      <c r="BE199" s="120"/>
      <c r="BF199" s="120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20"/>
      <c r="BS199" s="120"/>
      <c r="BT199" s="120"/>
      <c r="BU199" s="120"/>
    </row>
    <row r="200" spans="15:73"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20"/>
      <c r="AV200" s="120"/>
      <c r="AW200" s="120"/>
      <c r="AX200" s="120"/>
      <c r="AY200" s="120"/>
      <c r="AZ200" s="120"/>
      <c r="BA200" s="120"/>
      <c r="BB200" s="120"/>
      <c r="BC200" s="120"/>
      <c r="BD200" s="120"/>
      <c r="BE200" s="120"/>
      <c r="BF200" s="120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20"/>
      <c r="BS200" s="120"/>
      <c r="BT200" s="120"/>
      <c r="BU200" s="120"/>
    </row>
    <row r="201" spans="15:73"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20"/>
      <c r="AV201" s="120"/>
      <c r="AW201" s="120"/>
      <c r="AX201" s="120"/>
      <c r="AY201" s="120"/>
      <c r="AZ201" s="120"/>
      <c r="BA201" s="120"/>
      <c r="BB201" s="120"/>
      <c r="BC201" s="120"/>
      <c r="BD201" s="120"/>
      <c r="BE201" s="120"/>
      <c r="BF201" s="120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20"/>
      <c r="BS201" s="120"/>
      <c r="BT201" s="120"/>
      <c r="BU201" s="120"/>
    </row>
    <row r="202" spans="15:73"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20"/>
      <c r="AV202" s="120"/>
      <c r="AW202" s="120"/>
      <c r="AX202" s="120"/>
      <c r="AY202" s="120"/>
      <c r="AZ202" s="120"/>
      <c r="BA202" s="120"/>
      <c r="BB202" s="120"/>
      <c r="BC202" s="120"/>
      <c r="BD202" s="120"/>
      <c r="BE202" s="120"/>
      <c r="BF202" s="120"/>
      <c r="BG202" s="120"/>
      <c r="BH202" s="120"/>
      <c r="BI202" s="120"/>
      <c r="BJ202" s="120"/>
      <c r="BK202" s="120"/>
      <c r="BL202" s="120"/>
      <c r="BM202" s="120"/>
      <c r="BN202" s="120"/>
      <c r="BO202" s="120"/>
      <c r="BP202" s="120"/>
      <c r="BQ202" s="120"/>
      <c r="BR202" s="120"/>
      <c r="BS202" s="120"/>
      <c r="BT202" s="120"/>
      <c r="BU202" s="120"/>
    </row>
    <row r="203" spans="15:73"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20"/>
      <c r="AV203" s="120"/>
      <c r="AW203" s="120"/>
      <c r="AX203" s="120"/>
      <c r="AY203" s="120"/>
      <c r="AZ203" s="120"/>
      <c r="BA203" s="120"/>
      <c r="BB203" s="120"/>
      <c r="BC203" s="120"/>
      <c r="BD203" s="120"/>
      <c r="BE203" s="120"/>
      <c r="BF203" s="120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20"/>
      <c r="BS203" s="120"/>
      <c r="BT203" s="120"/>
      <c r="BU203" s="120"/>
    </row>
    <row r="204" spans="15:73"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20"/>
      <c r="AV204" s="120"/>
      <c r="AW204" s="120"/>
      <c r="AX204" s="120"/>
      <c r="AY204" s="120"/>
      <c r="AZ204" s="120"/>
      <c r="BA204" s="120"/>
      <c r="BB204" s="120"/>
      <c r="BC204" s="120"/>
      <c r="BD204" s="120"/>
      <c r="BE204" s="120"/>
      <c r="BF204" s="120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20"/>
      <c r="BS204" s="120"/>
      <c r="BT204" s="120"/>
      <c r="BU204" s="120"/>
    </row>
    <row r="205" spans="15:73"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20"/>
      <c r="AV205" s="120"/>
      <c r="AW205" s="120"/>
      <c r="AX205" s="120"/>
      <c r="AY205" s="120"/>
      <c r="AZ205" s="120"/>
      <c r="BA205" s="120"/>
      <c r="BB205" s="120"/>
      <c r="BC205" s="120"/>
      <c r="BD205" s="120"/>
      <c r="BE205" s="120"/>
      <c r="BF205" s="120"/>
      <c r="BG205" s="120"/>
      <c r="BH205" s="120"/>
      <c r="BI205" s="120"/>
      <c r="BJ205" s="120"/>
      <c r="BK205" s="120"/>
      <c r="BL205" s="120"/>
      <c r="BM205" s="120"/>
      <c r="BN205" s="120"/>
      <c r="BO205" s="120"/>
      <c r="BP205" s="120"/>
      <c r="BQ205" s="120"/>
      <c r="BR205" s="120"/>
      <c r="BS205" s="120"/>
      <c r="BT205" s="120"/>
      <c r="BU205" s="120"/>
    </row>
    <row r="206" spans="15:73"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20"/>
      <c r="AV206" s="120"/>
      <c r="AW206" s="120"/>
      <c r="AX206" s="120"/>
      <c r="AY206" s="120"/>
      <c r="AZ206" s="120"/>
      <c r="BA206" s="120"/>
      <c r="BB206" s="120"/>
      <c r="BC206" s="120"/>
      <c r="BD206" s="120"/>
      <c r="BE206" s="120"/>
      <c r="BF206" s="120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20"/>
      <c r="BS206" s="120"/>
      <c r="BT206" s="120"/>
      <c r="BU206" s="120"/>
    </row>
    <row r="207" spans="15:73"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20"/>
      <c r="AV207" s="120"/>
      <c r="AW207" s="120"/>
      <c r="AX207" s="120"/>
      <c r="AY207" s="120"/>
      <c r="AZ207" s="120"/>
      <c r="BA207" s="120"/>
      <c r="BB207" s="120"/>
      <c r="BC207" s="120"/>
      <c r="BD207" s="120"/>
      <c r="BE207" s="120"/>
      <c r="BF207" s="120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20"/>
      <c r="BS207" s="120"/>
      <c r="BT207" s="120"/>
      <c r="BU207" s="120"/>
    </row>
    <row r="208" spans="15:73"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20"/>
      <c r="AV208" s="120"/>
      <c r="AW208" s="120"/>
      <c r="AX208" s="120"/>
      <c r="AY208" s="120"/>
      <c r="AZ208" s="120"/>
      <c r="BA208" s="120"/>
      <c r="BB208" s="120"/>
      <c r="BC208" s="120"/>
      <c r="BD208" s="120"/>
      <c r="BE208" s="120"/>
      <c r="BF208" s="120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20"/>
      <c r="BS208" s="120"/>
      <c r="BT208" s="120"/>
      <c r="BU208" s="120"/>
    </row>
    <row r="209" spans="15:73"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20"/>
      <c r="AV209" s="120"/>
      <c r="AW209" s="120"/>
      <c r="AX209" s="120"/>
      <c r="AY209" s="120"/>
      <c r="AZ209" s="120"/>
      <c r="BA209" s="120"/>
      <c r="BB209" s="120"/>
      <c r="BC209" s="120"/>
      <c r="BD209" s="120"/>
      <c r="BE209" s="120"/>
      <c r="BF209" s="120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20"/>
      <c r="BS209" s="120"/>
      <c r="BT209" s="120"/>
      <c r="BU209" s="120"/>
    </row>
    <row r="210" spans="15:73"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20"/>
      <c r="AV210" s="120"/>
      <c r="AW210" s="120"/>
      <c r="AX210" s="120"/>
      <c r="AY210" s="120"/>
      <c r="AZ210" s="120"/>
      <c r="BA210" s="120"/>
      <c r="BB210" s="120"/>
      <c r="BC210" s="120"/>
      <c r="BD210" s="120"/>
      <c r="BE210" s="120"/>
      <c r="BF210" s="120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20"/>
      <c r="BS210" s="120"/>
      <c r="BT210" s="120"/>
      <c r="BU210" s="120"/>
    </row>
    <row r="211" spans="15:73"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20"/>
      <c r="AM211" s="120"/>
      <c r="AN211" s="120"/>
      <c r="AO211" s="120"/>
      <c r="AP211" s="120"/>
      <c r="AQ211" s="120"/>
      <c r="AR211" s="120"/>
      <c r="AS211" s="120"/>
      <c r="AT211" s="120"/>
      <c r="AU211" s="120"/>
      <c r="AV211" s="120"/>
      <c r="AW211" s="120"/>
      <c r="AX211" s="120"/>
      <c r="AY211" s="120"/>
      <c r="AZ211" s="120"/>
      <c r="BA211" s="120"/>
      <c r="BB211" s="120"/>
      <c r="BC211" s="120"/>
      <c r="BD211" s="120"/>
      <c r="BE211" s="120"/>
      <c r="BF211" s="120"/>
      <c r="BG211" s="120"/>
      <c r="BH211" s="120"/>
      <c r="BI211" s="120"/>
      <c r="BJ211" s="120"/>
      <c r="BK211" s="120"/>
      <c r="BL211" s="120"/>
      <c r="BM211" s="120"/>
      <c r="BN211" s="120"/>
      <c r="BO211" s="120"/>
      <c r="BP211" s="120"/>
      <c r="BQ211" s="120"/>
      <c r="BR211" s="120"/>
      <c r="BS211" s="120"/>
      <c r="BT211" s="120"/>
      <c r="BU211" s="120"/>
    </row>
    <row r="212" spans="15:73"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20"/>
      <c r="AV212" s="120"/>
      <c r="AW212" s="120"/>
      <c r="AX212" s="120"/>
      <c r="AY212" s="120"/>
      <c r="AZ212" s="120"/>
      <c r="BA212" s="120"/>
      <c r="BB212" s="120"/>
      <c r="BC212" s="120"/>
      <c r="BD212" s="120"/>
      <c r="BE212" s="120"/>
      <c r="BF212" s="120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20"/>
      <c r="BS212" s="120"/>
      <c r="BT212" s="120"/>
      <c r="BU212" s="120"/>
    </row>
    <row r="213" spans="15:73"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20"/>
      <c r="AM213" s="120"/>
      <c r="AN213" s="120"/>
      <c r="AO213" s="120"/>
      <c r="AP213" s="120"/>
      <c r="AQ213" s="120"/>
      <c r="AR213" s="120"/>
      <c r="AS213" s="120"/>
      <c r="AT213" s="120"/>
      <c r="AU213" s="120"/>
      <c r="AV213" s="120"/>
      <c r="AW213" s="120"/>
      <c r="AX213" s="120"/>
      <c r="AY213" s="120"/>
      <c r="AZ213" s="120"/>
      <c r="BA213" s="120"/>
      <c r="BB213" s="120"/>
      <c r="BC213" s="120"/>
      <c r="BD213" s="120"/>
      <c r="BE213" s="120"/>
      <c r="BF213" s="120"/>
      <c r="BG213" s="120"/>
      <c r="BH213" s="120"/>
      <c r="BI213" s="120"/>
      <c r="BJ213" s="120"/>
      <c r="BK213" s="120"/>
      <c r="BL213" s="120"/>
      <c r="BM213" s="120"/>
      <c r="BN213" s="120"/>
      <c r="BO213" s="120"/>
      <c r="BP213" s="120"/>
      <c r="BQ213" s="120"/>
      <c r="BR213" s="120"/>
      <c r="BS213" s="120"/>
      <c r="BT213" s="120"/>
      <c r="BU213" s="120"/>
    </row>
    <row r="214" spans="15:73"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20"/>
      <c r="AM214" s="120"/>
      <c r="AN214" s="120"/>
      <c r="AO214" s="120"/>
      <c r="AP214" s="120"/>
      <c r="AQ214" s="120"/>
      <c r="AR214" s="120"/>
      <c r="AS214" s="120"/>
      <c r="AT214" s="120"/>
      <c r="AU214" s="120"/>
      <c r="AV214" s="120"/>
      <c r="AW214" s="120"/>
      <c r="AX214" s="120"/>
      <c r="AY214" s="120"/>
      <c r="AZ214" s="120"/>
      <c r="BA214" s="120"/>
      <c r="BB214" s="120"/>
      <c r="BC214" s="120"/>
      <c r="BD214" s="120"/>
      <c r="BE214" s="120"/>
      <c r="BF214" s="120"/>
      <c r="BG214" s="120"/>
      <c r="BH214" s="120"/>
      <c r="BI214" s="120"/>
      <c r="BJ214" s="120"/>
      <c r="BK214" s="120"/>
      <c r="BL214" s="120"/>
      <c r="BM214" s="120"/>
      <c r="BN214" s="120"/>
      <c r="BO214" s="120"/>
      <c r="BP214" s="120"/>
      <c r="BQ214" s="120"/>
      <c r="BR214" s="120"/>
      <c r="BS214" s="120"/>
      <c r="BT214" s="120"/>
      <c r="BU214" s="120"/>
    </row>
    <row r="215" spans="15:73"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20"/>
      <c r="AV215" s="120"/>
      <c r="AW215" s="120"/>
      <c r="AX215" s="120"/>
      <c r="AY215" s="120"/>
      <c r="AZ215" s="120"/>
      <c r="BA215" s="120"/>
      <c r="BB215" s="120"/>
      <c r="BC215" s="120"/>
      <c r="BD215" s="120"/>
      <c r="BE215" s="120"/>
      <c r="BF215" s="120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20"/>
      <c r="BS215" s="120"/>
      <c r="BT215" s="120"/>
      <c r="BU215" s="120"/>
    </row>
    <row r="216" spans="15:73"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20"/>
      <c r="AV216" s="120"/>
      <c r="AW216" s="120"/>
      <c r="AX216" s="120"/>
      <c r="AY216" s="120"/>
      <c r="AZ216" s="120"/>
      <c r="BA216" s="120"/>
      <c r="BB216" s="120"/>
      <c r="BC216" s="120"/>
      <c r="BD216" s="120"/>
      <c r="BE216" s="120"/>
      <c r="BF216" s="120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20"/>
      <c r="BS216" s="120"/>
      <c r="BT216" s="120"/>
      <c r="BU216" s="120"/>
    </row>
    <row r="217" spans="15:73"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20"/>
      <c r="AV217" s="120"/>
      <c r="AW217" s="120"/>
      <c r="AX217" s="120"/>
      <c r="AY217" s="120"/>
      <c r="AZ217" s="120"/>
      <c r="BA217" s="120"/>
      <c r="BB217" s="120"/>
      <c r="BC217" s="120"/>
      <c r="BD217" s="120"/>
      <c r="BE217" s="120"/>
      <c r="BF217" s="120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20"/>
      <c r="BS217" s="120"/>
      <c r="BT217" s="120"/>
      <c r="BU217" s="120"/>
    </row>
    <row r="218" spans="15:73"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20"/>
      <c r="AV218" s="120"/>
      <c r="AW218" s="120"/>
      <c r="AX218" s="120"/>
      <c r="AY218" s="120"/>
      <c r="AZ218" s="120"/>
      <c r="BA218" s="120"/>
      <c r="BB218" s="120"/>
      <c r="BC218" s="120"/>
      <c r="BD218" s="120"/>
      <c r="BE218" s="120"/>
      <c r="BF218" s="120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20"/>
      <c r="BS218" s="120"/>
      <c r="BT218" s="120"/>
      <c r="BU218" s="120"/>
    </row>
    <row r="219" spans="15:73"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20"/>
      <c r="AV219" s="120"/>
      <c r="AW219" s="120"/>
      <c r="AX219" s="120"/>
      <c r="AY219" s="120"/>
      <c r="AZ219" s="120"/>
      <c r="BA219" s="120"/>
      <c r="BB219" s="120"/>
      <c r="BC219" s="120"/>
      <c r="BD219" s="120"/>
      <c r="BE219" s="120"/>
      <c r="BF219" s="120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20"/>
      <c r="BS219" s="120"/>
      <c r="BT219" s="120"/>
      <c r="BU219" s="120"/>
    </row>
    <row r="220" spans="15:73"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20"/>
      <c r="AV220" s="120"/>
      <c r="AW220" s="120"/>
      <c r="AX220" s="120"/>
      <c r="AY220" s="120"/>
      <c r="AZ220" s="120"/>
      <c r="BA220" s="120"/>
      <c r="BB220" s="120"/>
      <c r="BC220" s="120"/>
      <c r="BD220" s="120"/>
      <c r="BE220" s="120"/>
      <c r="BF220" s="120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20"/>
      <c r="BS220" s="120"/>
      <c r="BT220" s="120"/>
      <c r="BU220" s="120"/>
    </row>
    <row r="221" spans="15:73"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20"/>
      <c r="AV221" s="120"/>
      <c r="AW221" s="120"/>
      <c r="AX221" s="120"/>
      <c r="AY221" s="120"/>
      <c r="AZ221" s="120"/>
      <c r="BA221" s="120"/>
      <c r="BB221" s="120"/>
      <c r="BC221" s="120"/>
      <c r="BD221" s="120"/>
      <c r="BE221" s="120"/>
      <c r="BF221" s="120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20"/>
      <c r="BS221" s="120"/>
      <c r="BT221" s="120"/>
      <c r="BU221" s="120"/>
    </row>
    <row r="222" spans="15:73"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20"/>
      <c r="AV222" s="120"/>
      <c r="AW222" s="120"/>
      <c r="AX222" s="120"/>
      <c r="AY222" s="120"/>
      <c r="AZ222" s="120"/>
      <c r="BA222" s="120"/>
      <c r="BB222" s="120"/>
      <c r="BC222" s="120"/>
      <c r="BD222" s="120"/>
      <c r="BE222" s="120"/>
      <c r="BF222" s="120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20"/>
      <c r="BS222" s="120"/>
      <c r="BT222" s="120"/>
      <c r="BU222" s="120"/>
    </row>
    <row r="223" spans="15:73"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20"/>
      <c r="AV223" s="120"/>
      <c r="AW223" s="120"/>
      <c r="AX223" s="120"/>
      <c r="AY223" s="120"/>
      <c r="AZ223" s="120"/>
      <c r="BA223" s="120"/>
      <c r="BB223" s="120"/>
      <c r="BC223" s="120"/>
      <c r="BD223" s="120"/>
      <c r="BE223" s="120"/>
      <c r="BF223" s="120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20"/>
      <c r="BS223" s="120"/>
      <c r="BT223" s="120"/>
      <c r="BU223" s="120"/>
    </row>
    <row r="224" spans="15:73"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20"/>
      <c r="AV224" s="120"/>
      <c r="AW224" s="120"/>
      <c r="AX224" s="120"/>
      <c r="AY224" s="120"/>
      <c r="AZ224" s="120"/>
      <c r="BA224" s="120"/>
      <c r="BB224" s="120"/>
      <c r="BC224" s="120"/>
      <c r="BD224" s="120"/>
      <c r="BE224" s="120"/>
      <c r="BF224" s="120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20"/>
      <c r="BS224" s="120"/>
      <c r="BT224" s="120"/>
      <c r="BU224" s="120"/>
    </row>
    <row r="225" spans="15:73"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20"/>
      <c r="AV225" s="120"/>
      <c r="AW225" s="120"/>
      <c r="AX225" s="120"/>
      <c r="AY225" s="120"/>
      <c r="AZ225" s="120"/>
      <c r="BA225" s="120"/>
      <c r="BB225" s="120"/>
      <c r="BC225" s="120"/>
      <c r="BD225" s="120"/>
      <c r="BE225" s="120"/>
      <c r="BF225" s="120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20"/>
      <c r="BS225" s="120"/>
      <c r="BT225" s="120"/>
      <c r="BU225" s="120"/>
    </row>
    <row r="226" spans="15:73"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20"/>
      <c r="AV226" s="120"/>
      <c r="AW226" s="120"/>
      <c r="AX226" s="120"/>
      <c r="AY226" s="120"/>
      <c r="AZ226" s="120"/>
      <c r="BA226" s="120"/>
      <c r="BB226" s="120"/>
      <c r="BC226" s="120"/>
      <c r="BD226" s="120"/>
      <c r="BE226" s="120"/>
      <c r="BF226" s="120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20"/>
      <c r="BS226" s="120"/>
      <c r="BT226" s="120"/>
      <c r="BU226" s="120"/>
    </row>
    <row r="227" spans="15:73"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20"/>
      <c r="AV227" s="120"/>
      <c r="AW227" s="120"/>
      <c r="AX227" s="120"/>
      <c r="AY227" s="120"/>
      <c r="AZ227" s="120"/>
      <c r="BA227" s="120"/>
      <c r="BB227" s="120"/>
      <c r="BC227" s="120"/>
      <c r="BD227" s="120"/>
      <c r="BE227" s="120"/>
      <c r="BF227" s="120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20"/>
      <c r="BS227" s="120"/>
      <c r="BT227" s="120"/>
      <c r="BU227" s="120"/>
    </row>
    <row r="228" spans="15:73"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20"/>
      <c r="AV228" s="120"/>
      <c r="AW228" s="120"/>
      <c r="AX228" s="120"/>
      <c r="AY228" s="120"/>
      <c r="AZ228" s="120"/>
      <c r="BA228" s="120"/>
      <c r="BB228" s="120"/>
      <c r="BC228" s="120"/>
      <c r="BD228" s="120"/>
      <c r="BE228" s="120"/>
      <c r="BF228" s="120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20"/>
      <c r="BS228" s="120"/>
      <c r="BT228" s="120"/>
      <c r="BU228" s="120"/>
    </row>
    <row r="229" spans="15:73"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20"/>
      <c r="AV229" s="120"/>
      <c r="AW229" s="120"/>
      <c r="AX229" s="120"/>
      <c r="AY229" s="120"/>
      <c r="AZ229" s="120"/>
      <c r="BA229" s="120"/>
      <c r="BB229" s="120"/>
      <c r="BC229" s="120"/>
      <c r="BD229" s="120"/>
      <c r="BE229" s="120"/>
      <c r="BF229" s="120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20"/>
      <c r="BS229" s="120"/>
      <c r="BT229" s="120"/>
      <c r="BU229" s="120"/>
    </row>
    <row r="230" spans="15:73"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20"/>
      <c r="AV230" s="120"/>
      <c r="AW230" s="120"/>
      <c r="AX230" s="120"/>
      <c r="AY230" s="120"/>
      <c r="AZ230" s="120"/>
      <c r="BA230" s="120"/>
      <c r="BB230" s="120"/>
      <c r="BC230" s="120"/>
      <c r="BD230" s="120"/>
      <c r="BE230" s="120"/>
      <c r="BF230" s="120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20"/>
      <c r="BS230" s="120"/>
      <c r="BT230" s="120"/>
      <c r="BU230" s="120"/>
    </row>
    <row r="231" spans="15:73"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20"/>
      <c r="AV231" s="120"/>
      <c r="AW231" s="120"/>
      <c r="AX231" s="120"/>
      <c r="AY231" s="120"/>
      <c r="AZ231" s="120"/>
      <c r="BA231" s="120"/>
      <c r="BB231" s="120"/>
      <c r="BC231" s="120"/>
      <c r="BD231" s="120"/>
      <c r="BE231" s="120"/>
      <c r="BF231" s="120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20"/>
      <c r="BS231" s="120"/>
      <c r="BT231" s="120"/>
      <c r="BU231" s="120"/>
    </row>
    <row r="232" spans="15:73"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20"/>
      <c r="AV232" s="120"/>
      <c r="AW232" s="120"/>
      <c r="AX232" s="120"/>
      <c r="AY232" s="120"/>
      <c r="AZ232" s="120"/>
      <c r="BA232" s="120"/>
      <c r="BB232" s="120"/>
      <c r="BC232" s="120"/>
      <c r="BD232" s="120"/>
      <c r="BE232" s="120"/>
      <c r="BF232" s="120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20"/>
      <c r="BS232" s="120"/>
      <c r="BT232" s="120"/>
      <c r="BU232" s="120"/>
    </row>
    <row r="233" spans="15:73"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20"/>
      <c r="AV233" s="120"/>
      <c r="AW233" s="120"/>
      <c r="AX233" s="120"/>
      <c r="AY233" s="120"/>
      <c r="AZ233" s="120"/>
      <c r="BA233" s="120"/>
      <c r="BB233" s="120"/>
      <c r="BC233" s="120"/>
      <c r="BD233" s="120"/>
      <c r="BE233" s="120"/>
      <c r="BF233" s="120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20"/>
      <c r="BS233" s="120"/>
      <c r="BT233" s="120"/>
      <c r="BU233" s="120"/>
    </row>
    <row r="234" spans="15:73"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20"/>
      <c r="AV234" s="120"/>
      <c r="AW234" s="120"/>
      <c r="AX234" s="120"/>
      <c r="AY234" s="120"/>
      <c r="AZ234" s="120"/>
      <c r="BA234" s="120"/>
      <c r="BB234" s="120"/>
      <c r="BC234" s="120"/>
      <c r="BD234" s="120"/>
      <c r="BE234" s="120"/>
      <c r="BF234" s="120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20"/>
      <c r="BS234" s="120"/>
      <c r="BT234" s="120"/>
      <c r="BU234" s="120"/>
    </row>
    <row r="235" spans="15:73"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20"/>
      <c r="AV235" s="120"/>
      <c r="AW235" s="120"/>
      <c r="AX235" s="120"/>
      <c r="AY235" s="120"/>
      <c r="AZ235" s="120"/>
      <c r="BA235" s="120"/>
      <c r="BB235" s="120"/>
      <c r="BC235" s="120"/>
      <c r="BD235" s="120"/>
      <c r="BE235" s="120"/>
      <c r="BF235" s="120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20"/>
      <c r="BS235" s="120"/>
      <c r="BT235" s="120"/>
      <c r="BU235" s="120"/>
    </row>
    <row r="236" spans="15:73"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20"/>
      <c r="AV236" s="120"/>
      <c r="AW236" s="120"/>
      <c r="AX236" s="120"/>
      <c r="AY236" s="120"/>
      <c r="AZ236" s="120"/>
      <c r="BA236" s="120"/>
      <c r="BB236" s="120"/>
      <c r="BC236" s="120"/>
      <c r="BD236" s="120"/>
      <c r="BE236" s="120"/>
      <c r="BF236" s="120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20"/>
      <c r="BS236" s="120"/>
      <c r="BT236" s="120"/>
      <c r="BU236" s="120"/>
    </row>
    <row r="237" spans="15:73"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20"/>
      <c r="AV237" s="120"/>
      <c r="AW237" s="120"/>
      <c r="AX237" s="120"/>
      <c r="AY237" s="120"/>
      <c r="AZ237" s="120"/>
      <c r="BA237" s="120"/>
      <c r="BB237" s="120"/>
      <c r="BC237" s="120"/>
      <c r="BD237" s="120"/>
      <c r="BE237" s="120"/>
      <c r="BF237" s="120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20"/>
      <c r="BS237" s="120"/>
      <c r="BT237" s="120"/>
      <c r="BU237" s="120"/>
    </row>
    <row r="238" spans="15:73"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20"/>
      <c r="AV238" s="120"/>
      <c r="AW238" s="120"/>
      <c r="AX238" s="120"/>
      <c r="AY238" s="120"/>
      <c r="AZ238" s="120"/>
      <c r="BA238" s="120"/>
      <c r="BB238" s="120"/>
      <c r="BC238" s="120"/>
      <c r="BD238" s="120"/>
      <c r="BE238" s="120"/>
      <c r="BF238" s="120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20"/>
      <c r="BS238" s="120"/>
      <c r="BT238" s="120"/>
      <c r="BU238" s="120"/>
    </row>
    <row r="239" spans="15:73"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20"/>
      <c r="AV239" s="120"/>
      <c r="AW239" s="120"/>
      <c r="AX239" s="120"/>
      <c r="AY239" s="120"/>
      <c r="AZ239" s="120"/>
      <c r="BA239" s="120"/>
      <c r="BB239" s="120"/>
      <c r="BC239" s="120"/>
      <c r="BD239" s="120"/>
      <c r="BE239" s="120"/>
      <c r="BF239" s="120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20"/>
      <c r="BS239" s="120"/>
      <c r="BT239" s="120"/>
      <c r="BU239" s="120"/>
    </row>
    <row r="240" spans="15:73"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20"/>
      <c r="AV240" s="120"/>
      <c r="AW240" s="120"/>
      <c r="AX240" s="120"/>
      <c r="AY240" s="120"/>
      <c r="AZ240" s="120"/>
      <c r="BA240" s="120"/>
      <c r="BB240" s="120"/>
      <c r="BC240" s="120"/>
      <c r="BD240" s="120"/>
      <c r="BE240" s="120"/>
      <c r="BF240" s="120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20"/>
      <c r="BS240" s="120"/>
      <c r="BT240" s="120"/>
      <c r="BU240" s="120"/>
    </row>
    <row r="241" spans="15:73"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20"/>
      <c r="AV241" s="120"/>
      <c r="AW241" s="120"/>
      <c r="AX241" s="120"/>
      <c r="AY241" s="120"/>
      <c r="AZ241" s="120"/>
      <c r="BA241" s="120"/>
      <c r="BB241" s="120"/>
      <c r="BC241" s="120"/>
      <c r="BD241" s="120"/>
      <c r="BE241" s="120"/>
      <c r="BF241" s="120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20"/>
      <c r="BS241" s="120"/>
      <c r="BT241" s="120"/>
      <c r="BU241" s="120"/>
    </row>
    <row r="242" spans="15:73"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20"/>
      <c r="AV242" s="120"/>
      <c r="AW242" s="120"/>
      <c r="AX242" s="120"/>
      <c r="AY242" s="120"/>
      <c r="AZ242" s="120"/>
      <c r="BA242" s="120"/>
      <c r="BB242" s="120"/>
      <c r="BC242" s="120"/>
      <c r="BD242" s="120"/>
      <c r="BE242" s="120"/>
      <c r="BF242" s="120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20"/>
      <c r="BS242" s="120"/>
      <c r="BT242" s="120"/>
      <c r="BU242" s="120"/>
    </row>
    <row r="243" spans="15:73"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20"/>
      <c r="AV243" s="120"/>
      <c r="AW243" s="120"/>
      <c r="AX243" s="120"/>
      <c r="AY243" s="120"/>
      <c r="AZ243" s="120"/>
      <c r="BA243" s="120"/>
      <c r="BB243" s="120"/>
      <c r="BC243" s="120"/>
      <c r="BD243" s="120"/>
      <c r="BE243" s="120"/>
      <c r="BF243" s="120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20"/>
      <c r="BS243" s="120"/>
      <c r="BT243" s="120"/>
      <c r="BU243" s="120"/>
    </row>
    <row r="244" spans="15:73"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20"/>
      <c r="AV244" s="120"/>
      <c r="AW244" s="120"/>
      <c r="AX244" s="120"/>
      <c r="AY244" s="120"/>
      <c r="AZ244" s="120"/>
      <c r="BA244" s="120"/>
      <c r="BB244" s="120"/>
      <c r="BC244" s="120"/>
      <c r="BD244" s="120"/>
      <c r="BE244" s="120"/>
      <c r="BF244" s="120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20"/>
      <c r="BS244" s="120"/>
      <c r="BT244" s="120"/>
      <c r="BU244" s="120"/>
    </row>
    <row r="245" spans="15:73"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20"/>
      <c r="AV245" s="120"/>
      <c r="AW245" s="120"/>
      <c r="AX245" s="120"/>
      <c r="AY245" s="120"/>
      <c r="AZ245" s="120"/>
      <c r="BA245" s="120"/>
      <c r="BB245" s="120"/>
      <c r="BC245" s="120"/>
      <c r="BD245" s="120"/>
      <c r="BE245" s="120"/>
      <c r="BF245" s="120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20"/>
      <c r="BS245" s="120"/>
      <c r="BT245" s="120"/>
      <c r="BU245" s="120"/>
    </row>
    <row r="246" spans="15:73"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20"/>
      <c r="AV246" s="120"/>
      <c r="AW246" s="120"/>
      <c r="AX246" s="120"/>
      <c r="AY246" s="120"/>
      <c r="AZ246" s="120"/>
      <c r="BA246" s="120"/>
      <c r="BB246" s="120"/>
      <c r="BC246" s="120"/>
      <c r="BD246" s="120"/>
      <c r="BE246" s="120"/>
      <c r="BF246" s="120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20"/>
      <c r="BS246" s="120"/>
      <c r="BT246" s="120"/>
      <c r="BU246" s="120"/>
    </row>
    <row r="247" spans="15:73"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20"/>
      <c r="AV247" s="120"/>
      <c r="AW247" s="120"/>
      <c r="AX247" s="120"/>
      <c r="AY247" s="120"/>
      <c r="AZ247" s="120"/>
      <c r="BA247" s="120"/>
      <c r="BB247" s="120"/>
      <c r="BC247" s="120"/>
      <c r="BD247" s="120"/>
      <c r="BE247" s="120"/>
      <c r="BF247" s="120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20"/>
      <c r="BS247" s="120"/>
      <c r="BT247" s="120"/>
      <c r="BU247" s="120"/>
    </row>
    <row r="248" spans="15:73"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20"/>
      <c r="AM248" s="120"/>
      <c r="AN248" s="120"/>
      <c r="AO248" s="120"/>
      <c r="AP248" s="120"/>
      <c r="AQ248" s="120"/>
      <c r="AR248" s="120"/>
      <c r="AS248" s="120"/>
      <c r="AT248" s="120"/>
      <c r="AU248" s="120"/>
      <c r="AV248" s="120"/>
      <c r="AW248" s="120"/>
      <c r="AX248" s="120"/>
      <c r="AY248" s="120"/>
      <c r="AZ248" s="120"/>
      <c r="BA248" s="120"/>
      <c r="BB248" s="120"/>
      <c r="BC248" s="120"/>
      <c r="BD248" s="120"/>
      <c r="BE248" s="120"/>
      <c r="BF248" s="120"/>
      <c r="BG248" s="120"/>
      <c r="BH248" s="120"/>
      <c r="BI248" s="120"/>
      <c r="BJ248" s="120"/>
      <c r="BK248" s="120"/>
      <c r="BL248" s="120"/>
      <c r="BM248" s="120"/>
      <c r="BN248" s="120"/>
      <c r="BO248" s="120"/>
      <c r="BP248" s="120"/>
      <c r="BQ248" s="120"/>
      <c r="BR248" s="120"/>
      <c r="BS248" s="120"/>
      <c r="BT248" s="120"/>
      <c r="BU248" s="120"/>
    </row>
    <row r="249" spans="15:73"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20"/>
      <c r="AV249" s="120"/>
      <c r="AW249" s="120"/>
      <c r="AX249" s="120"/>
      <c r="AY249" s="120"/>
      <c r="AZ249" s="120"/>
      <c r="BA249" s="120"/>
      <c r="BB249" s="120"/>
      <c r="BC249" s="120"/>
      <c r="BD249" s="120"/>
      <c r="BE249" s="120"/>
      <c r="BF249" s="120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20"/>
      <c r="BS249" s="120"/>
      <c r="BT249" s="120"/>
      <c r="BU249" s="120"/>
    </row>
    <row r="250" spans="15:73"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20"/>
      <c r="AV250" s="120"/>
      <c r="AW250" s="120"/>
      <c r="AX250" s="120"/>
      <c r="AY250" s="120"/>
      <c r="AZ250" s="120"/>
      <c r="BA250" s="120"/>
      <c r="BB250" s="120"/>
      <c r="BC250" s="120"/>
      <c r="BD250" s="120"/>
      <c r="BE250" s="120"/>
      <c r="BF250" s="120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20"/>
      <c r="BS250" s="120"/>
      <c r="BT250" s="120"/>
      <c r="BU250" s="120"/>
    </row>
    <row r="251" spans="15:73"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20"/>
      <c r="AV251" s="120"/>
      <c r="AW251" s="120"/>
      <c r="AX251" s="120"/>
      <c r="AY251" s="120"/>
      <c r="AZ251" s="120"/>
      <c r="BA251" s="120"/>
      <c r="BB251" s="120"/>
      <c r="BC251" s="120"/>
      <c r="BD251" s="120"/>
      <c r="BE251" s="120"/>
      <c r="BF251" s="120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20"/>
      <c r="BS251" s="120"/>
      <c r="BT251" s="120"/>
      <c r="BU251" s="120"/>
    </row>
    <row r="252" spans="15:73"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20"/>
      <c r="AV252" s="120"/>
      <c r="AW252" s="120"/>
      <c r="AX252" s="120"/>
      <c r="AY252" s="120"/>
      <c r="AZ252" s="120"/>
      <c r="BA252" s="120"/>
      <c r="BB252" s="120"/>
      <c r="BC252" s="120"/>
      <c r="BD252" s="120"/>
      <c r="BE252" s="120"/>
      <c r="BF252" s="120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20"/>
      <c r="BS252" s="120"/>
      <c r="BT252" s="120"/>
      <c r="BU252" s="120"/>
    </row>
    <row r="253" spans="15:73"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20"/>
      <c r="AV253" s="120"/>
      <c r="AW253" s="120"/>
      <c r="AX253" s="120"/>
      <c r="AY253" s="120"/>
      <c r="AZ253" s="120"/>
      <c r="BA253" s="120"/>
      <c r="BB253" s="120"/>
      <c r="BC253" s="120"/>
      <c r="BD253" s="120"/>
      <c r="BE253" s="120"/>
      <c r="BF253" s="120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20"/>
      <c r="BS253" s="120"/>
      <c r="BT253" s="120"/>
      <c r="BU253" s="120"/>
    </row>
    <row r="254" spans="15:73"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20"/>
      <c r="AV254" s="120"/>
      <c r="AW254" s="120"/>
      <c r="AX254" s="120"/>
      <c r="AY254" s="120"/>
      <c r="AZ254" s="120"/>
      <c r="BA254" s="120"/>
      <c r="BB254" s="120"/>
      <c r="BC254" s="120"/>
      <c r="BD254" s="120"/>
      <c r="BE254" s="120"/>
      <c r="BF254" s="120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20"/>
      <c r="BS254" s="120"/>
      <c r="BT254" s="120"/>
      <c r="BU254" s="120"/>
    </row>
    <row r="255" spans="15:73"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20"/>
      <c r="AV255" s="120"/>
      <c r="AW255" s="120"/>
      <c r="AX255" s="120"/>
      <c r="AY255" s="120"/>
      <c r="AZ255" s="120"/>
      <c r="BA255" s="120"/>
      <c r="BB255" s="120"/>
      <c r="BC255" s="120"/>
      <c r="BD255" s="120"/>
      <c r="BE255" s="120"/>
      <c r="BF255" s="120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20"/>
      <c r="BS255" s="120"/>
      <c r="BT255" s="120"/>
      <c r="BU255" s="120"/>
    </row>
    <row r="256" spans="15:73"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20"/>
      <c r="AV256" s="120"/>
      <c r="AW256" s="120"/>
      <c r="AX256" s="120"/>
      <c r="AY256" s="120"/>
      <c r="AZ256" s="120"/>
      <c r="BA256" s="120"/>
      <c r="BB256" s="120"/>
      <c r="BC256" s="120"/>
      <c r="BD256" s="120"/>
      <c r="BE256" s="120"/>
      <c r="BF256" s="120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20"/>
      <c r="BS256" s="120"/>
      <c r="BT256" s="120"/>
      <c r="BU256" s="120"/>
    </row>
    <row r="257" spans="15:73"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20"/>
      <c r="AM257" s="120"/>
      <c r="AN257" s="120"/>
      <c r="AO257" s="120"/>
      <c r="AP257" s="120"/>
      <c r="AQ257" s="120"/>
      <c r="AR257" s="120"/>
      <c r="AS257" s="120"/>
      <c r="AT257" s="120"/>
      <c r="AU257" s="120"/>
      <c r="AV257" s="120"/>
      <c r="AW257" s="120"/>
      <c r="AX257" s="120"/>
      <c r="AY257" s="120"/>
      <c r="AZ257" s="120"/>
      <c r="BA257" s="120"/>
      <c r="BB257" s="120"/>
      <c r="BC257" s="120"/>
      <c r="BD257" s="120"/>
      <c r="BE257" s="120"/>
      <c r="BF257" s="120"/>
      <c r="BG257" s="120"/>
      <c r="BH257" s="120"/>
      <c r="BI257" s="120"/>
      <c r="BJ257" s="120"/>
      <c r="BK257" s="120"/>
      <c r="BL257" s="120"/>
      <c r="BM257" s="120"/>
      <c r="BN257" s="120"/>
      <c r="BO257" s="120"/>
      <c r="BP257" s="120"/>
      <c r="BQ257" s="120"/>
      <c r="BR257" s="120"/>
      <c r="BS257" s="120"/>
      <c r="BT257" s="120"/>
      <c r="BU257" s="120"/>
    </row>
    <row r="258" spans="15:73"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20"/>
      <c r="AV258" s="120"/>
      <c r="AW258" s="120"/>
      <c r="AX258" s="120"/>
      <c r="AY258" s="120"/>
      <c r="AZ258" s="120"/>
      <c r="BA258" s="120"/>
      <c r="BB258" s="120"/>
      <c r="BC258" s="120"/>
      <c r="BD258" s="120"/>
      <c r="BE258" s="120"/>
      <c r="BF258" s="120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20"/>
      <c r="BS258" s="120"/>
      <c r="BT258" s="120"/>
      <c r="BU258" s="120"/>
    </row>
    <row r="259" spans="15:73"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20"/>
      <c r="AV259" s="120"/>
      <c r="AW259" s="120"/>
      <c r="AX259" s="120"/>
      <c r="AY259" s="120"/>
      <c r="AZ259" s="120"/>
      <c r="BA259" s="120"/>
      <c r="BB259" s="120"/>
      <c r="BC259" s="120"/>
      <c r="BD259" s="120"/>
      <c r="BE259" s="120"/>
      <c r="BF259" s="120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20"/>
      <c r="BS259" s="120"/>
      <c r="BT259" s="120"/>
      <c r="BU259" s="120"/>
    </row>
    <row r="260" spans="15:73"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20"/>
      <c r="AV260" s="120"/>
      <c r="AW260" s="120"/>
      <c r="AX260" s="120"/>
      <c r="AY260" s="120"/>
      <c r="AZ260" s="120"/>
      <c r="BA260" s="120"/>
      <c r="BB260" s="120"/>
      <c r="BC260" s="120"/>
      <c r="BD260" s="120"/>
      <c r="BE260" s="120"/>
      <c r="BF260" s="120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20"/>
      <c r="BS260" s="120"/>
      <c r="BT260" s="120"/>
      <c r="BU260" s="120"/>
    </row>
    <row r="261" spans="15:73"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20"/>
      <c r="AV261" s="120"/>
      <c r="AW261" s="120"/>
      <c r="AX261" s="120"/>
      <c r="AY261" s="120"/>
      <c r="AZ261" s="120"/>
      <c r="BA261" s="120"/>
      <c r="BB261" s="120"/>
      <c r="BC261" s="120"/>
      <c r="BD261" s="120"/>
      <c r="BE261" s="120"/>
      <c r="BF261" s="120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20"/>
      <c r="BS261" s="120"/>
      <c r="BT261" s="120"/>
      <c r="BU261" s="120"/>
    </row>
    <row r="262" spans="15:73"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20"/>
      <c r="AV262" s="120"/>
      <c r="AW262" s="120"/>
      <c r="AX262" s="120"/>
      <c r="AY262" s="120"/>
      <c r="AZ262" s="120"/>
      <c r="BA262" s="120"/>
      <c r="BB262" s="120"/>
      <c r="BC262" s="120"/>
      <c r="BD262" s="120"/>
      <c r="BE262" s="120"/>
      <c r="BF262" s="120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20"/>
      <c r="BS262" s="120"/>
      <c r="BT262" s="120"/>
      <c r="BU262" s="120"/>
    </row>
    <row r="263" spans="15:73"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20"/>
      <c r="AV263" s="120"/>
      <c r="AW263" s="120"/>
      <c r="AX263" s="120"/>
      <c r="AY263" s="120"/>
      <c r="AZ263" s="120"/>
      <c r="BA263" s="120"/>
      <c r="BB263" s="120"/>
      <c r="BC263" s="120"/>
      <c r="BD263" s="120"/>
      <c r="BE263" s="120"/>
      <c r="BF263" s="120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20"/>
      <c r="BS263" s="120"/>
      <c r="BT263" s="120"/>
      <c r="BU263" s="120"/>
    </row>
    <row r="264" spans="15:73"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20"/>
      <c r="AV264" s="120"/>
      <c r="AW264" s="120"/>
      <c r="AX264" s="120"/>
      <c r="AY264" s="120"/>
      <c r="AZ264" s="120"/>
      <c r="BA264" s="120"/>
      <c r="BB264" s="120"/>
      <c r="BC264" s="120"/>
      <c r="BD264" s="120"/>
      <c r="BE264" s="120"/>
      <c r="BF264" s="120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20"/>
      <c r="BS264" s="120"/>
      <c r="BT264" s="120"/>
      <c r="BU264" s="120"/>
    </row>
    <row r="265" spans="15:73"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20"/>
      <c r="AV265" s="120"/>
      <c r="AW265" s="120"/>
      <c r="AX265" s="120"/>
      <c r="AY265" s="120"/>
      <c r="AZ265" s="120"/>
      <c r="BA265" s="120"/>
      <c r="BB265" s="120"/>
      <c r="BC265" s="120"/>
      <c r="BD265" s="120"/>
      <c r="BE265" s="120"/>
      <c r="BF265" s="120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20"/>
      <c r="BS265" s="120"/>
      <c r="BT265" s="120"/>
      <c r="BU265" s="120"/>
    </row>
    <row r="266" spans="15:73"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20"/>
      <c r="AV266" s="120"/>
      <c r="AW266" s="120"/>
      <c r="AX266" s="120"/>
      <c r="AY266" s="120"/>
      <c r="AZ266" s="120"/>
      <c r="BA266" s="120"/>
      <c r="BB266" s="120"/>
      <c r="BC266" s="120"/>
      <c r="BD266" s="120"/>
      <c r="BE266" s="120"/>
      <c r="BF266" s="120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20"/>
      <c r="BS266" s="120"/>
      <c r="BT266" s="120"/>
      <c r="BU266" s="120"/>
    </row>
    <row r="267" spans="15:73"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20"/>
      <c r="AV267" s="120"/>
      <c r="AW267" s="120"/>
      <c r="AX267" s="120"/>
      <c r="AY267" s="120"/>
      <c r="AZ267" s="120"/>
      <c r="BA267" s="120"/>
      <c r="BB267" s="120"/>
      <c r="BC267" s="120"/>
      <c r="BD267" s="120"/>
      <c r="BE267" s="120"/>
      <c r="BF267" s="120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20"/>
      <c r="BS267" s="120"/>
      <c r="BT267" s="120"/>
      <c r="BU267" s="120"/>
    </row>
    <row r="268" spans="15:73"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20"/>
      <c r="AV268" s="120"/>
      <c r="AW268" s="120"/>
      <c r="AX268" s="120"/>
      <c r="AY268" s="120"/>
      <c r="AZ268" s="120"/>
      <c r="BA268" s="120"/>
      <c r="BB268" s="120"/>
      <c r="BC268" s="120"/>
      <c r="BD268" s="120"/>
      <c r="BE268" s="120"/>
      <c r="BF268" s="120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20"/>
      <c r="BS268" s="120"/>
      <c r="BT268" s="120"/>
      <c r="BU268" s="120"/>
    </row>
    <row r="269" spans="15:73"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20"/>
      <c r="AV269" s="120"/>
      <c r="AW269" s="120"/>
      <c r="AX269" s="120"/>
      <c r="AY269" s="120"/>
      <c r="AZ269" s="120"/>
      <c r="BA269" s="120"/>
      <c r="BB269" s="120"/>
      <c r="BC269" s="120"/>
      <c r="BD269" s="120"/>
      <c r="BE269" s="120"/>
      <c r="BF269" s="120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20"/>
      <c r="BS269" s="120"/>
      <c r="BT269" s="120"/>
      <c r="BU269" s="120"/>
    </row>
    <row r="270" spans="15:73"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20"/>
      <c r="AV270" s="120"/>
      <c r="AW270" s="120"/>
      <c r="AX270" s="120"/>
      <c r="AY270" s="120"/>
      <c r="AZ270" s="120"/>
      <c r="BA270" s="120"/>
      <c r="BB270" s="120"/>
      <c r="BC270" s="120"/>
      <c r="BD270" s="120"/>
      <c r="BE270" s="120"/>
      <c r="BF270" s="120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20"/>
      <c r="BS270" s="120"/>
      <c r="BT270" s="120"/>
      <c r="BU270" s="120"/>
    </row>
    <row r="271" spans="15:73"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20"/>
      <c r="AV271" s="120"/>
      <c r="AW271" s="120"/>
      <c r="AX271" s="120"/>
      <c r="AY271" s="120"/>
      <c r="AZ271" s="120"/>
      <c r="BA271" s="120"/>
      <c r="BB271" s="120"/>
      <c r="BC271" s="120"/>
      <c r="BD271" s="120"/>
      <c r="BE271" s="120"/>
      <c r="BF271" s="120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20"/>
      <c r="BS271" s="120"/>
      <c r="BT271" s="120"/>
      <c r="BU271" s="120"/>
    </row>
    <row r="272" spans="15:73"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20"/>
      <c r="AV272" s="120"/>
      <c r="AW272" s="120"/>
      <c r="AX272" s="120"/>
      <c r="AY272" s="120"/>
      <c r="AZ272" s="120"/>
      <c r="BA272" s="120"/>
      <c r="BB272" s="120"/>
      <c r="BC272" s="120"/>
      <c r="BD272" s="120"/>
      <c r="BE272" s="120"/>
      <c r="BF272" s="120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20"/>
      <c r="BS272" s="120"/>
      <c r="BT272" s="120"/>
      <c r="BU272" s="120"/>
    </row>
    <row r="273" spans="15:73"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20"/>
      <c r="AV273" s="120"/>
      <c r="AW273" s="120"/>
      <c r="AX273" s="120"/>
      <c r="AY273" s="120"/>
      <c r="AZ273" s="120"/>
      <c r="BA273" s="120"/>
      <c r="BB273" s="120"/>
      <c r="BC273" s="120"/>
      <c r="BD273" s="120"/>
      <c r="BE273" s="120"/>
      <c r="BF273" s="120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20"/>
      <c r="BS273" s="120"/>
      <c r="BT273" s="120"/>
      <c r="BU273" s="120"/>
    </row>
    <row r="274" spans="15:73"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20"/>
      <c r="AV274" s="120"/>
      <c r="AW274" s="120"/>
      <c r="AX274" s="120"/>
      <c r="AY274" s="120"/>
      <c r="AZ274" s="120"/>
      <c r="BA274" s="120"/>
      <c r="BB274" s="120"/>
      <c r="BC274" s="120"/>
      <c r="BD274" s="120"/>
      <c r="BE274" s="120"/>
      <c r="BF274" s="120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20"/>
      <c r="BS274" s="120"/>
      <c r="BT274" s="120"/>
      <c r="BU274" s="120"/>
    </row>
    <row r="275" spans="15:73"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20"/>
      <c r="AV275" s="120"/>
      <c r="AW275" s="120"/>
      <c r="AX275" s="120"/>
      <c r="AY275" s="120"/>
      <c r="AZ275" s="120"/>
      <c r="BA275" s="120"/>
      <c r="BB275" s="120"/>
      <c r="BC275" s="120"/>
      <c r="BD275" s="120"/>
      <c r="BE275" s="120"/>
      <c r="BF275" s="120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20"/>
      <c r="BS275" s="120"/>
      <c r="BT275" s="120"/>
      <c r="BU275" s="120"/>
    </row>
    <row r="276" spans="15:73"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20"/>
      <c r="AV276" s="120"/>
      <c r="AW276" s="120"/>
      <c r="AX276" s="120"/>
      <c r="AY276" s="120"/>
      <c r="AZ276" s="120"/>
      <c r="BA276" s="120"/>
      <c r="BB276" s="120"/>
      <c r="BC276" s="120"/>
      <c r="BD276" s="120"/>
      <c r="BE276" s="120"/>
      <c r="BF276" s="120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20"/>
      <c r="BS276" s="120"/>
      <c r="BT276" s="120"/>
      <c r="BU276" s="120"/>
    </row>
    <row r="277" spans="15:73"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20"/>
      <c r="AV277" s="120"/>
      <c r="AW277" s="120"/>
      <c r="AX277" s="120"/>
      <c r="AY277" s="120"/>
      <c r="AZ277" s="120"/>
      <c r="BA277" s="120"/>
      <c r="BB277" s="120"/>
      <c r="BC277" s="120"/>
      <c r="BD277" s="120"/>
      <c r="BE277" s="120"/>
      <c r="BF277" s="120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20"/>
      <c r="BS277" s="120"/>
      <c r="BT277" s="120"/>
      <c r="BU277" s="120"/>
    </row>
    <row r="278" spans="15:73"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20"/>
      <c r="AV278" s="120"/>
      <c r="AW278" s="120"/>
      <c r="AX278" s="120"/>
      <c r="AY278" s="120"/>
      <c r="AZ278" s="120"/>
      <c r="BA278" s="120"/>
      <c r="BB278" s="120"/>
      <c r="BC278" s="120"/>
      <c r="BD278" s="120"/>
      <c r="BE278" s="120"/>
      <c r="BF278" s="120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20"/>
      <c r="BS278" s="120"/>
      <c r="BT278" s="120"/>
      <c r="BU278" s="120"/>
    </row>
    <row r="279" spans="15:73"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20"/>
      <c r="AV279" s="120"/>
      <c r="AW279" s="120"/>
      <c r="AX279" s="120"/>
      <c r="AY279" s="120"/>
      <c r="AZ279" s="120"/>
      <c r="BA279" s="120"/>
      <c r="BB279" s="120"/>
      <c r="BC279" s="120"/>
      <c r="BD279" s="120"/>
      <c r="BE279" s="120"/>
      <c r="BF279" s="120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20"/>
      <c r="BS279" s="120"/>
      <c r="BT279" s="120"/>
      <c r="BU279" s="120"/>
    </row>
    <row r="280" spans="15:73"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20"/>
      <c r="AV280" s="120"/>
      <c r="AW280" s="120"/>
      <c r="AX280" s="120"/>
      <c r="AY280" s="120"/>
      <c r="AZ280" s="120"/>
      <c r="BA280" s="120"/>
      <c r="BB280" s="120"/>
      <c r="BC280" s="120"/>
      <c r="BD280" s="120"/>
      <c r="BE280" s="120"/>
      <c r="BF280" s="120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20"/>
      <c r="BS280" s="120"/>
      <c r="BT280" s="120"/>
      <c r="BU280" s="120"/>
    </row>
    <row r="281" spans="15:73"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20"/>
      <c r="AV281" s="120"/>
      <c r="AW281" s="120"/>
      <c r="AX281" s="120"/>
      <c r="AY281" s="120"/>
      <c r="AZ281" s="120"/>
      <c r="BA281" s="120"/>
      <c r="BB281" s="120"/>
      <c r="BC281" s="120"/>
      <c r="BD281" s="120"/>
      <c r="BE281" s="120"/>
      <c r="BF281" s="120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20"/>
      <c r="BS281" s="120"/>
      <c r="BT281" s="120"/>
      <c r="BU281" s="120"/>
    </row>
    <row r="282" spans="15:73"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20"/>
      <c r="AV282" s="120"/>
      <c r="AW282" s="120"/>
      <c r="AX282" s="120"/>
      <c r="AY282" s="120"/>
      <c r="AZ282" s="120"/>
      <c r="BA282" s="120"/>
      <c r="BB282" s="120"/>
      <c r="BC282" s="120"/>
      <c r="BD282" s="120"/>
      <c r="BE282" s="120"/>
      <c r="BF282" s="120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20"/>
      <c r="BS282" s="120"/>
      <c r="BT282" s="120"/>
      <c r="BU282" s="120"/>
    </row>
    <row r="283" spans="15:73"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20"/>
      <c r="AV283" s="120"/>
      <c r="AW283" s="120"/>
      <c r="AX283" s="120"/>
      <c r="AY283" s="120"/>
      <c r="AZ283" s="120"/>
      <c r="BA283" s="120"/>
      <c r="BB283" s="120"/>
      <c r="BC283" s="120"/>
      <c r="BD283" s="120"/>
      <c r="BE283" s="120"/>
      <c r="BF283" s="120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20"/>
      <c r="BS283" s="120"/>
      <c r="BT283" s="120"/>
      <c r="BU283" s="120"/>
    </row>
    <row r="284" spans="15:73"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20"/>
      <c r="AV284" s="120"/>
      <c r="AW284" s="120"/>
      <c r="AX284" s="120"/>
      <c r="AY284" s="120"/>
      <c r="AZ284" s="120"/>
      <c r="BA284" s="120"/>
      <c r="BB284" s="120"/>
      <c r="BC284" s="120"/>
      <c r="BD284" s="120"/>
      <c r="BE284" s="120"/>
      <c r="BF284" s="120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20"/>
      <c r="BS284" s="120"/>
      <c r="BT284" s="120"/>
      <c r="BU284" s="120"/>
    </row>
    <row r="285" spans="15:73"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20"/>
      <c r="AV285" s="120"/>
      <c r="AW285" s="120"/>
      <c r="AX285" s="120"/>
      <c r="AY285" s="120"/>
      <c r="AZ285" s="120"/>
      <c r="BA285" s="120"/>
      <c r="BB285" s="120"/>
      <c r="BC285" s="120"/>
      <c r="BD285" s="120"/>
      <c r="BE285" s="120"/>
      <c r="BF285" s="120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20"/>
      <c r="BS285" s="120"/>
      <c r="BT285" s="120"/>
      <c r="BU285" s="120"/>
    </row>
    <row r="286" spans="15:73"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20"/>
      <c r="AV286" s="120"/>
      <c r="AW286" s="120"/>
      <c r="AX286" s="120"/>
      <c r="AY286" s="120"/>
      <c r="AZ286" s="120"/>
      <c r="BA286" s="120"/>
      <c r="BB286" s="120"/>
      <c r="BC286" s="120"/>
      <c r="BD286" s="120"/>
      <c r="BE286" s="120"/>
      <c r="BF286" s="120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20"/>
      <c r="BS286" s="120"/>
      <c r="BT286" s="120"/>
      <c r="BU286" s="120"/>
    </row>
    <row r="287" spans="15:73"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20"/>
      <c r="AV287" s="120"/>
      <c r="AW287" s="120"/>
      <c r="AX287" s="120"/>
      <c r="AY287" s="120"/>
      <c r="AZ287" s="120"/>
      <c r="BA287" s="120"/>
      <c r="BB287" s="120"/>
      <c r="BC287" s="120"/>
      <c r="BD287" s="120"/>
      <c r="BE287" s="120"/>
      <c r="BF287" s="120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20"/>
      <c r="BS287" s="120"/>
      <c r="BT287" s="120"/>
      <c r="BU287" s="120"/>
    </row>
    <row r="288" spans="15:73"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20"/>
      <c r="AV288" s="120"/>
      <c r="AW288" s="120"/>
      <c r="AX288" s="120"/>
      <c r="AY288" s="120"/>
      <c r="AZ288" s="120"/>
      <c r="BA288" s="120"/>
      <c r="BB288" s="120"/>
      <c r="BC288" s="120"/>
      <c r="BD288" s="120"/>
      <c r="BE288" s="120"/>
      <c r="BF288" s="120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20"/>
      <c r="BS288" s="120"/>
      <c r="BT288" s="120"/>
      <c r="BU288" s="120"/>
    </row>
    <row r="289" spans="15:73"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20"/>
      <c r="AV289" s="120"/>
      <c r="AW289" s="120"/>
      <c r="AX289" s="120"/>
      <c r="AY289" s="120"/>
      <c r="AZ289" s="120"/>
      <c r="BA289" s="120"/>
      <c r="BB289" s="120"/>
      <c r="BC289" s="120"/>
      <c r="BD289" s="120"/>
      <c r="BE289" s="120"/>
      <c r="BF289" s="120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20"/>
      <c r="BS289" s="120"/>
      <c r="BT289" s="120"/>
      <c r="BU289" s="120"/>
    </row>
    <row r="290" spans="15:73"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20"/>
      <c r="AV290" s="120"/>
      <c r="AW290" s="120"/>
      <c r="AX290" s="120"/>
      <c r="AY290" s="120"/>
      <c r="AZ290" s="120"/>
      <c r="BA290" s="120"/>
      <c r="BB290" s="120"/>
      <c r="BC290" s="120"/>
      <c r="BD290" s="120"/>
      <c r="BE290" s="120"/>
      <c r="BF290" s="120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20"/>
      <c r="BS290" s="120"/>
      <c r="BT290" s="120"/>
      <c r="BU290" s="120"/>
    </row>
    <row r="291" spans="15:73"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20"/>
      <c r="AV291" s="120"/>
      <c r="AW291" s="120"/>
      <c r="AX291" s="120"/>
      <c r="AY291" s="120"/>
      <c r="AZ291" s="120"/>
      <c r="BA291" s="120"/>
      <c r="BB291" s="120"/>
      <c r="BC291" s="120"/>
      <c r="BD291" s="120"/>
      <c r="BE291" s="120"/>
      <c r="BF291" s="120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20"/>
      <c r="BS291" s="120"/>
      <c r="BT291" s="120"/>
      <c r="BU291" s="120"/>
    </row>
    <row r="292" spans="15:73"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20"/>
      <c r="AV292" s="120"/>
      <c r="AW292" s="120"/>
      <c r="AX292" s="120"/>
      <c r="AY292" s="120"/>
      <c r="AZ292" s="120"/>
      <c r="BA292" s="120"/>
      <c r="BB292" s="120"/>
      <c r="BC292" s="120"/>
      <c r="BD292" s="120"/>
      <c r="BE292" s="120"/>
      <c r="BF292" s="120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20"/>
      <c r="BS292" s="120"/>
      <c r="BT292" s="120"/>
      <c r="BU292" s="120"/>
    </row>
    <row r="293" spans="15:73"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20"/>
      <c r="AV293" s="120"/>
      <c r="AW293" s="120"/>
      <c r="AX293" s="120"/>
      <c r="AY293" s="120"/>
      <c r="AZ293" s="120"/>
      <c r="BA293" s="120"/>
      <c r="BB293" s="120"/>
      <c r="BC293" s="120"/>
      <c r="BD293" s="120"/>
      <c r="BE293" s="120"/>
      <c r="BF293" s="120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20"/>
      <c r="BS293" s="120"/>
      <c r="BT293" s="120"/>
      <c r="BU293" s="120"/>
    </row>
    <row r="294" spans="15:73"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20"/>
      <c r="AV294" s="120"/>
      <c r="AW294" s="120"/>
      <c r="AX294" s="120"/>
      <c r="AY294" s="120"/>
      <c r="AZ294" s="120"/>
      <c r="BA294" s="120"/>
      <c r="BB294" s="120"/>
      <c r="BC294" s="120"/>
      <c r="BD294" s="120"/>
      <c r="BE294" s="120"/>
      <c r="BF294" s="120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20"/>
      <c r="BS294" s="120"/>
      <c r="BT294" s="120"/>
      <c r="BU294" s="120"/>
    </row>
    <row r="295" spans="15:73"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20"/>
      <c r="AV295" s="120"/>
      <c r="AW295" s="120"/>
      <c r="AX295" s="120"/>
      <c r="AY295" s="120"/>
      <c r="AZ295" s="120"/>
      <c r="BA295" s="120"/>
      <c r="BB295" s="120"/>
      <c r="BC295" s="120"/>
      <c r="BD295" s="120"/>
      <c r="BE295" s="120"/>
      <c r="BF295" s="120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20"/>
      <c r="BS295" s="120"/>
      <c r="BT295" s="120"/>
      <c r="BU295" s="120"/>
    </row>
    <row r="296" spans="15:73"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20"/>
      <c r="AV296" s="120"/>
      <c r="AW296" s="120"/>
      <c r="AX296" s="120"/>
      <c r="AY296" s="120"/>
      <c r="AZ296" s="120"/>
      <c r="BA296" s="120"/>
      <c r="BB296" s="120"/>
      <c r="BC296" s="120"/>
      <c r="BD296" s="120"/>
      <c r="BE296" s="120"/>
      <c r="BF296" s="120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20"/>
      <c r="BS296" s="120"/>
      <c r="BT296" s="120"/>
      <c r="BU296" s="120"/>
    </row>
    <row r="297" spans="15:73"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20"/>
      <c r="AV297" s="120"/>
      <c r="AW297" s="120"/>
      <c r="AX297" s="120"/>
      <c r="AY297" s="120"/>
      <c r="AZ297" s="120"/>
      <c r="BA297" s="120"/>
      <c r="BB297" s="120"/>
      <c r="BC297" s="120"/>
      <c r="BD297" s="120"/>
      <c r="BE297" s="120"/>
      <c r="BF297" s="120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20"/>
      <c r="BS297" s="120"/>
      <c r="BT297" s="120"/>
      <c r="BU297" s="120"/>
    </row>
    <row r="298" spans="15:73"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20"/>
      <c r="AV298" s="120"/>
      <c r="AW298" s="120"/>
      <c r="AX298" s="120"/>
      <c r="AY298" s="120"/>
      <c r="AZ298" s="120"/>
      <c r="BA298" s="120"/>
      <c r="BB298" s="120"/>
      <c r="BC298" s="120"/>
      <c r="BD298" s="120"/>
      <c r="BE298" s="120"/>
      <c r="BF298" s="120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20"/>
      <c r="BS298" s="120"/>
      <c r="BT298" s="120"/>
      <c r="BU298" s="120"/>
    </row>
    <row r="299" spans="15:73"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20"/>
      <c r="AV299" s="120"/>
      <c r="AW299" s="120"/>
      <c r="AX299" s="120"/>
      <c r="AY299" s="120"/>
      <c r="AZ299" s="120"/>
      <c r="BA299" s="120"/>
      <c r="BB299" s="120"/>
      <c r="BC299" s="120"/>
      <c r="BD299" s="120"/>
      <c r="BE299" s="120"/>
      <c r="BF299" s="120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20"/>
      <c r="BS299" s="120"/>
      <c r="BT299" s="120"/>
      <c r="BU299" s="120"/>
    </row>
    <row r="300" spans="15:73"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20"/>
      <c r="AV300" s="120"/>
      <c r="AW300" s="120"/>
      <c r="AX300" s="120"/>
      <c r="AY300" s="120"/>
      <c r="AZ300" s="120"/>
      <c r="BA300" s="120"/>
      <c r="BB300" s="120"/>
      <c r="BC300" s="120"/>
      <c r="BD300" s="120"/>
      <c r="BE300" s="120"/>
      <c r="BF300" s="120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20"/>
      <c r="BS300" s="120"/>
      <c r="BT300" s="120"/>
      <c r="BU300" s="120"/>
    </row>
    <row r="301" spans="15:73"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20"/>
      <c r="AV301" s="120"/>
      <c r="AW301" s="120"/>
      <c r="AX301" s="120"/>
      <c r="AY301" s="120"/>
      <c r="AZ301" s="120"/>
      <c r="BA301" s="120"/>
      <c r="BB301" s="120"/>
      <c r="BC301" s="120"/>
      <c r="BD301" s="120"/>
      <c r="BE301" s="120"/>
      <c r="BF301" s="120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20"/>
      <c r="BS301" s="120"/>
      <c r="BT301" s="120"/>
      <c r="BU301" s="120"/>
    </row>
    <row r="302" spans="15:73"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20"/>
      <c r="AV302" s="120"/>
      <c r="AW302" s="120"/>
      <c r="AX302" s="120"/>
      <c r="AY302" s="120"/>
      <c r="AZ302" s="120"/>
      <c r="BA302" s="120"/>
      <c r="BB302" s="120"/>
      <c r="BC302" s="120"/>
      <c r="BD302" s="120"/>
      <c r="BE302" s="120"/>
      <c r="BF302" s="120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20"/>
      <c r="BS302" s="120"/>
      <c r="BT302" s="120"/>
      <c r="BU302" s="120"/>
    </row>
    <row r="303" spans="15:73"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20"/>
      <c r="AV303" s="120"/>
      <c r="AW303" s="120"/>
      <c r="AX303" s="120"/>
      <c r="AY303" s="120"/>
      <c r="AZ303" s="120"/>
      <c r="BA303" s="120"/>
      <c r="BB303" s="120"/>
      <c r="BC303" s="120"/>
      <c r="BD303" s="120"/>
      <c r="BE303" s="120"/>
      <c r="BF303" s="120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20"/>
      <c r="BS303" s="120"/>
      <c r="BT303" s="120"/>
      <c r="BU303" s="120"/>
    </row>
    <row r="304" spans="15:73"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20"/>
      <c r="AV304" s="120"/>
      <c r="AW304" s="120"/>
      <c r="AX304" s="120"/>
      <c r="AY304" s="120"/>
      <c r="AZ304" s="120"/>
      <c r="BA304" s="120"/>
      <c r="BB304" s="120"/>
      <c r="BC304" s="120"/>
      <c r="BD304" s="120"/>
      <c r="BE304" s="120"/>
      <c r="BF304" s="120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20"/>
      <c r="BS304" s="120"/>
      <c r="BT304" s="120"/>
      <c r="BU304" s="120"/>
    </row>
    <row r="305" spans="15:73"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20"/>
      <c r="AV305" s="120"/>
      <c r="AW305" s="120"/>
      <c r="AX305" s="120"/>
      <c r="AY305" s="120"/>
      <c r="AZ305" s="120"/>
      <c r="BA305" s="120"/>
      <c r="BB305" s="120"/>
      <c r="BC305" s="120"/>
      <c r="BD305" s="120"/>
      <c r="BE305" s="120"/>
      <c r="BF305" s="120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20"/>
      <c r="BS305" s="120"/>
      <c r="BT305" s="120"/>
      <c r="BU305" s="120"/>
    </row>
    <row r="306" spans="15:73"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20"/>
      <c r="AV306" s="120"/>
      <c r="AW306" s="120"/>
      <c r="AX306" s="120"/>
      <c r="AY306" s="120"/>
      <c r="AZ306" s="120"/>
      <c r="BA306" s="120"/>
      <c r="BB306" s="120"/>
      <c r="BC306" s="120"/>
      <c r="BD306" s="120"/>
      <c r="BE306" s="120"/>
      <c r="BF306" s="120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20"/>
      <c r="BS306" s="120"/>
      <c r="BT306" s="120"/>
      <c r="BU306" s="120"/>
    </row>
    <row r="307" spans="15:73"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20"/>
      <c r="AV307" s="120"/>
      <c r="AW307" s="120"/>
      <c r="AX307" s="120"/>
      <c r="AY307" s="120"/>
      <c r="AZ307" s="120"/>
      <c r="BA307" s="120"/>
      <c r="BB307" s="120"/>
      <c r="BC307" s="120"/>
      <c r="BD307" s="120"/>
      <c r="BE307" s="120"/>
      <c r="BF307" s="120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20"/>
      <c r="BS307" s="120"/>
      <c r="BT307" s="120"/>
      <c r="BU307" s="120"/>
    </row>
    <row r="308" spans="15:73"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20"/>
      <c r="AV308" s="120"/>
      <c r="AW308" s="120"/>
      <c r="AX308" s="120"/>
      <c r="AY308" s="120"/>
      <c r="AZ308" s="120"/>
      <c r="BA308" s="120"/>
      <c r="BB308" s="120"/>
      <c r="BC308" s="120"/>
      <c r="BD308" s="120"/>
      <c r="BE308" s="120"/>
      <c r="BF308" s="120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20"/>
      <c r="BS308" s="120"/>
      <c r="BT308" s="120"/>
      <c r="BU308" s="120"/>
    </row>
    <row r="309" spans="15:73"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20"/>
      <c r="AV309" s="120"/>
      <c r="AW309" s="120"/>
      <c r="AX309" s="120"/>
      <c r="AY309" s="120"/>
      <c r="AZ309" s="120"/>
      <c r="BA309" s="120"/>
      <c r="BB309" s="120"/>
      <c r="BC309" s="120"/>
      <c r="BD309" s="120"/>
      <c r="BE309" s="120"/>
      <c r="BF309" s="120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20"/>
      <c r="BS309" s="120"/>
      <c r="BT309" s="120"/>
      <c r="BU309" s="120"/>
    </row>
    <row r="310" spans="15:73"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20"/>
      <c r="AV310" s="120"/>
      <c r="AW310" s="120"/>
      <c r="AX310" s="120"/>
      <c r="AY310" s="120"/>
      <c r="AZ310" s="120"/>
      <c r="BA310" s="120"/>
      <c r="BB310" s="120"/>
      <c r="BC310" s="120"/>
      <c r="BD310" s="120"/>
      <c r="BE310" s="120"/>
      <c r="BF310" s="120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20"/>
      <c r="BS310" s="120"/>
      <c r="BT310" s="120"/>
      <c r="BU310" s="120"/>
    </row>
    <row r="311" spans="15:73"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20"/>
      <c r="AV311" s="120"/>
      <c r="AW311" s="120"/>
      <c r="AX311" s="120"/>
      <c r="AY311" s="120"/>
      <c r="AZ311" s="120"/>
      <c r="BA311" s="120"/>
      <c r="BB311" s="120"/>
      <c r="BC311" s="120"/>
      <c r="BD311" s="120"/>
      <c r="BE311" s="120"/>
      <c r="BF311" s="120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20"/>
      <c r="BS311" s="120"/>
      <c r="BT311" s="120"/>
      <c r="BU311" s="120"/>
    </row>
    <row r="312" spans="15:73"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20"/>
      <c r="AV312" s="120"/>
      <c r="AW312" s="120"/>
      <c r="AX312" s="120"/>
      <c r="AY312" s="120"/>
      <c r="AZ312" s="120"/>
      <c r="BA312" s="120"/>
      <c r="BB312" s="120"/>
      <c r="BC312" s="120"/>
      <c r="BD312" s="120"/>
      <c r="BE312" s="120"/>
      <c r="BF312" s="120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20"/>
      <c r="BS312" s="120"/>
      <c r="BT312" s="120"/>
      <c r="BU312" s="120"/>
    </row>
    <row r="313" spans="15:73"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20"/>
      <c r="AV313" s="120"/>
      <c r="AW313" s="120"/>
      <c r="AX313" s="120"/>
      <c r="AY313" s="120"/>
      <c r="AZ313" s="120"/>
      <c r="BA313" s="120"/>
      <c r="BB313" s="120"/>
      <c r="BC313" s="120"/>
      <c r="BD313" s="120"/>
      <c r="BE313" s="120"/>
      <c r="BF313" s="120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20"/>
      <c r="BS313" s="120"/>
      <c r="BT313" s="120"/>
      <c r="BU313" s="120"/>
    </row>
    <row r="314" spans="15:73"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20"/>
      <c r="AV314" s="120"/>
      <c r="AW314" s="120"/>
      <c r="AX314" s="120"/>
      <c r="AY314" s="120"/>
      <c r="AZ314" s="120"/>
      <c r="BA314" s="120"/>
      <c r="BB314" s="120"/>
      <c r="BC314" s="120"/>
      <c r="BD314" s="120"/>
      <c r="BE314" s="120"/>
      <c r="BF314" s="120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20"/>
      <c r="BS314" s="120"/>
      <c r="BT314" s="120"/>
      <c r="BU314" s="120"/>
    </row>
    <row r="315" spans="15:73"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20"/>
      <c r="AV315" s="120"/>
      <c r="AW315" s="120"/>
      <c r="AX315" s="120"/>
      <c r="AY315" s="120"/>
      <c r="AZ315" s="120"/>
      <c r="BA315" s="120"/>
      <c r="BB315" s="120"/>
      <c r="BC315" s="120"/>
      <c r="BD315" s="120"/>
      <c r="BE315" s="120"/>
      <c r="BF315" s="120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20"/>
      <c r="BS315" s="120"/>
      <c r="BT315" s="120"/>
      <c r="BU315" s="120"/>
    </row>
    <row r="316" spans="15:73"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20"/>
      <c r="AV316" s="120"/>
      <c r="AW316" s="120"/>
      <c r="AX316" s="120"/>
      <c r="AY316" s="120"/>
      <c r="AZ316" s="120"/>
      <c r="BA316" s="120"/>
      <c r="BB316" s="120"/>
      <c r="BC316" s="120"/>
      <c r="BD316" s="120"/>
      <c r="BE316" s="120"/>
      <c r="BF316" s="120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20"/>
      <c r="BS316" s="120"/>
      <c r="BT316" s="120"/>
      <c r="BU316" s="120"/>
    </row>
    <row r="317" spans="15:73"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20"/>
      <c r="AV317" s="120"/>
      <c r="AW317" s="120"/>
      <c r="AX317" s="120"/>
      <c r="AY317" s="120"/>
      <c r="AZ317" s="120"/>
      <c r="BA317" s="120"/>
      <c r="BB317" s="120"/>
      <c r="BC317" s="120"/>
      <c r="BD317" s="120"/>
      <c r="BE317" s="120"/>
      <c r="BF317" s="120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20"/>
      <c r="BS317" s="120"/>
      <c r="BT317" s="120"/>
      <c r="BU317" s="120"/>
    </row>
    <row r="318" spans="15:73"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20"/>
      <c r="AV318" s="120"/>
      <c r="AW318" s="120"/>
      <c r="AX318" s="120"/>
      <c r="AY318" s="120"/>
      <c r="AZ318" s="120"/>
      <c r="BA318" s="120"/>
      <c r="BB318" s="120"/>
      <c r="BC318" s="120"/>
      <c r="BD318" s="120"/>
      <c r="BE318" s="120"/>
      <c r="BF318" s="120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20"/>
      <c r="BS318" s="120"/>
      <c r="BT318" s="120"/>
      <c r="BU318" s="120"/>
    </row>
    <row r="319" spans="15:73"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20"/>
      <c r="AV319" s="120"/>
      <c r="AW319" s="120"/>
      <c r="AX319" s="120"/>
      <c r="AY319" s="120"/>
      <c r="AZ319" s="120"/>
      <c r="BA319" s="120"/>
      <c r="BB319" s="120"/>
      <c r="BC319" s="120"/>
      <c r="BD319" s="120"/>
      <c r="BE319" s="120"/>
      <c r="BF319" s="120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20"/>
      <c r="BS319" s="120"/>
      <c r="BT319" s="120"/>
      <c r="BU319" s="120"/>
    </row>
    <row r="320" spans="15:73"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20"/>
      <c r="AV320" s="120"/>
      <c r="AW320" s="120"/>
      <c r="AX320" s="120"/>
      <c r="AY320" s="120"/>
      <c r="AZ320" s="120"/>
      <c r="BA320" s="120"/>
      <c r="BB320" s="120"/>
      <c r="BC320" s="120"/>
      <c r="BD320" s="120"/>
      <c r="BE320" s="120"/>
      <c r="BF320" s="120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20"/>
      <c r="BS320" s="120"/>
      <c r="BT320" s="120"/>
      <c r="BU320" s="120"/>
    </row>
    <row r="321" spans="15:73"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20"/>
      <c r="AV321" s="120"/>
      <c r="AW321" s="120"/>
      <c r="AX321" s="120"/>
      <c r="AY321" s="120"/>
      <c r="AZ321" s="120"/>
      <c r="BA321" s="120"/>
      <c r="BB321" s="120"/>
      <c r="BC321" s="120"/>
      <c r="BD321" s="120"/>
      <c r="BE321" s="120"/>
      <c r="BF321" s="120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20"/>
      <c r="BS321" s="120"/>
      <c r="BT321" s="120"/>
      <c r="BU321" s="120"/>
    </row>
    <row r="322" spans="15:73"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20"/>
      <c r="AV322" s="120"/>
      <c r="AW322" s="120"/>
      <c r="AX322" s="120"/>
      <c r="AY322" s="120"/>
      <c r="AZ322" s="120"/>
      <c r="BA322" s="120"/>
      <c r="BB322" s="120"/>
      <c r="BC322" s="120"/>
      <c r="BD322" s="120"/>
      <c r="BE322" s="120"/>
      <c r="BF322" s="120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20"/>
      <c r="BS322" s="120"/>
      <c r="BT322" s="120"/>
      <c r="BU322" s="120"/>
    </row>
    <row r="323" spans="15:73"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20"/>
      <c r="AV323" s="120"/>
      <c r="AW323" s="120"/>
      <c r="AX323" s="120"/>
      <c r="AY323" s="120"/>
      <c r="AZ323" s="120"/>
      <c r="BA323" s="120"/>
      <c r="BB323" s="120"/>
      <c r="BC323" s="120"/>
      <c r="BD323" s="120"/>
      <c r="BE323" s="120"/>
      <c r="BF323" s="120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20"/>
      <c r="BS323" s="120"/>
      <c r="BT323" s="120"/>
      <c r="BU323" s="120"/>
    </row>
    <row r="324" spans="15:73"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20"/>
      <c r="AV324" s="120"/>
      <c r="AW324" s="120"/>
      <c r="AX324" s="120"/>
      <c r="AY324" s="120"/>
      <c r="AZ324" s="120"/>
      <c r="BA324" s="120"/>
      <c r="BB324" s="120"/>
      <c r="BC324" s="120"/>
      <c r="BD324" s="120"/>
      <c r="BE324" s="120"/>
      <c r="BF324" s="120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20"/>
      <c r="BS324" s="120"/>
      <c r="BT324" s="120"/>
      <c r="BU324" s="120"/>
    </row>
    <row r="325" spans="15:73"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20"/>
      <c r="AV325" s="120"/>
      <c r="AW325" s="120"/>
      <c r="AX325" s="120"/>
      <c r="AY325" s="120"/>
      <c r="AZ325" s="120"/>
      <c r="BA325" s="120"/>
      <c r="BB325" s="120"/>
      <c r="BC325" s="120"/>
      <c r="BD325" s="120"/>
      <c r="BE325" s="120"/>
      <c r="BF325" s="120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20"/>
      <c r="BS325" s="120"/>
      <c r="BT325" s="120"/>
      <c r="BU325" s="120"/>
    </row>
    <row r="326" spans="15:73"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20"/>
      <c r="AV326" s="120"/>
      <c r="AW326" s="120"/>
      <c r="AX326" s="120"/>
      <c r="AY326" s="120"/>
      <c r="AZ326" s="120"/>
      <c r="BA326" s="120"/>
      <c r="BB326" s="120"/>
      <c r="BC326" s="120"/>
      <c r="BD326" s="120"/>
      <c r="BE326" s="120"/>
      <c r="BF326" s="120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20"/>
      <c r="BS326" s="120"/>
      <c r="BT326" s="120"/>
      <c r="BU326" s="120"/>
    </row>
    <row r="327" spans="15:73"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20"/>
      <c r="AV327" s="120"/>
      <c r="AW327" s="120"/>
      <c r="AX327" s="120"/>
      <c r="AY327" s="120"/>
      <c r="AZ327" s="120"/>
      <c r="BA327" s="120"/>
      <c r="BB327" s="120"/>
      <c r="BC327" s="120"/>
      <c r="BD327" s="120"/>
      <c r="BE327" s="120"/>
      <c r="BF327" s="120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20"/>
      <c r="BS327" s="120"/>
      <c r="BT327" s="120"/>
      <c r="BU327" s="120"/>
    </row>
    <row r="328" spans="15:73"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20"/>
      <c r="AV328" s="120"/>
      <c r="AW328" s="120"/>
      <c r="AX328" s="120"/>
      <c r="AY328" s="120"/>
      <c r="AZ328" s="120"/>
      <c r="BA328" s="120"/>
      <c r="BB328" s="120"/>
      <c r="BC328" s="120"/>
      <c r="BD328" s="120"/>
      <c r="BE328" s="120"/>
      <c r="BF328" s="120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20"/>
      <c r="BS328" s="120"/>
      <c r="BT328" s="120"/>
      <c r="BU328" s="120"/>
    </row>
    <row r="329" spans="15:73"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20"/>
      <c r="AV329" s="120"/>
      <c r="AW329" s="120"/>
      <c r="AX329" s="120"/>
      <c r="AY329" s="120"/>
      <c r="AZ329" s="120"/>
      <c r="BA329" s="120"/>
      <c r="BB329" s="120"/>
      <c r="BC329" s="120"/>
      <c r="BD329" s="120"/>
      <c r="BE329" s="120"/>
      <c r="BF329" s="120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20"/>
      <c r="BS329" s="120"/>
      <c r="BT329" s="120"/>
      <c r="BU329" s="120"/>
    </row>
    <row r="330" spans="15:73"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20"/>
      <c r="AV330" s="120"/>
      <c r="AW330" s="120"/>
      <c r="AX330" s="120"/>
      <c r="AY330" s="120"/>
      <c r="AZ330" s="120"/>
      <c r="BA330" s="120"/>
      <c r="BB330" s="120"/>
      <c r="BC330" s="120"/>
      <c r="BD330" s="120"/>
      <c r="BE330" s="120"/>
      <c r="BF330" s="120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20"/>
      <c r="BS330" s="120"/>
      <c r="BT330" s="120"/>
      <c r="BU330" s="120"/>
    </row>
    <row r="331" spans="15:73"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20"/>
      <c r="AV331" s="120"/>
      <c r="AW331" s="120"/>
      <c r="AX331" s="120"/>
      <c r="AY331" s="120"/>
      <c r="AZ331" s="120"/>
      <c r="BA331" s="120"/>
      <c r="BB331" s="120"/>
      <c r="BC331" s="120"/>
      <c r="BD331" s="120"/>
      <c r="BE331" s="120"/>
      <c r="BF331" s="120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20"/>
      <c r="BS331" s="120"/>
      <c r="BT331" s="120"/>
      <c r="BU331" s="120"/>
    </row>
    <row r="332" spans="15:73"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20"/>
      <c r="AV332" s="120"/>
      <c r="AW332" s="120"/>
      <c r="AX332" s="120"/>
      <c r="AY332" s="120"/>
      <c r="AZ332" s="120"/>
      <c r="BA332" s="120"/>
      <c r="BB332" s="120"/>
      <c r="BC332" s="120"/>
      <c r="BD332" s="120"/>
      <c r="BE332" s="120"/>
      <c r="BF332" s="120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20"/>
      <c r="BS332" s="120"/>
      <c r="BT332" s="120"/>
      <c r="BU332" s="120"/>
    </row>
    <row r="333" spans="15:73"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20"/>
      <c r="AV333" s="120"/>
      <c r="AW333" s="120"/>
      <c r="AX333" s="120"/>
      <c r="AY333" s="120"/>
      <c r="AZ333" s="120"/>
      <c r="BA333" s="120"/>
      <c r="BB333" s="120"/>
      <c r="BC333" s="120"/>
      <c r="BD333" s="120"/>
      <c r="BE333" s="120"/>
      <c r="BF333" s="120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20"/>
      <c r="BS333" s="120"/>
      <c r="BT333" s="120"/>
      <c r="BU333" s="120"/>
    </row>
    <row r="334" spans="15:73"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20"/>
      <c r="AV334" s="120"/>
      <c r="AW334" s="120"/>
      <c r="AX334" s="120"/>
      <c r="AY334" s="120"/>
      <c r="AZ334" s="120"/>
      <c r="BA334" s="120"/>
      <c r="BB334" s="120"/>
      <c r="BC334" s="120"/>
      <c r="BD334" s="120"/>
      <c r="BE334" s="120"/>
      <c r="BF334" s="120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20"/>
      <c r="BS334" s="120"/>
      <c r="BT334" s="120"/>
      <c r="BU334" s="120"/>
    </row>
    <row r="335" spans="15:73"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20"/>
      <c r="AV335" s="120"/>
      <c r="AW335" s="120"/>
      <c r="AX335" s="120"/>
      <c r="AY335" s="120"/>
      <c r="AZ335" s="120"/>
      <c r="BA335" s="120"/>
      <c r="BB335" s="120"/>
      <c r="BC335" s="120"/>
      <c r="BD335" s="120"/>
      <c r="BE335" s="120"/>
      <c r="BF335" s="120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20"/>
      <c r="BS335" s="120"/>
      <c r="BT335" s="120"/>
      <c r="BU335" s="120"/>
    </row>
    <row r="336" spans="15:73"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20"/>
      <c r="AV336" s="120"/>
      <c r="AW336" s="120"/>
      <c r="AX336" s="120"/>
      <c r="AY336" s="120"/>
      <c r="AZ336" s="120"/>
      <c r="BA336" s="120"/>
      <c r="BB336" s="120"/>
      <c r="BC336" s="120"/>
      <c r="BD336" s="120"/>
      <c r="BE336" s="120"/>
      <c r="BF336" s="120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20"/>
      <c r="BS336" s="120"/>
      <c r="BT336" s="120"/>
      <c r="BU336" s="120"/>
    </row>
    <row r="337" spans="15:73"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20"/>
      <c r="AV337" s="120"/>
      <c r="AW337" s="120"/>
      <c r="AX337" s="120"/>
      <c r="AY337" s="120"/>
      <c r="AZ337" s="120"/>
      <c r="BA337" s="120"/>
      <c r="BB337" s="120"/>
      <c r="BC337" s="120"/>
      <c r="BD337" s="120"/>
      <c r="BE337" s="120"/>
      <c r="BF337" s="120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20"/>
      <c r="BS337" s="120"/>
      <c r="BT337" s="120"/>
      <c r="BU337" s="120"/>
    </row>
    <row r="338" spans="15:73"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20"/>
      <c r="AV338" s="120"/>
      <c r="AW338" s="120"/>
      <c r="AX338" s="120"/>
      <c r="AY338" s="120"/>
      <c r="AZ338" s="120"/>
      <c r="BA338" s="120"/>
      <c r="BB338" s="120"/>
      <c r="BC338" s="120"/>
      <c r="BD338" s="120"/>
      <c r="BE338" s="120"/>
      <c r="BF338" s="120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20"/>
      <c r="BS338" s="120"/>
      <c r="BT338" s="120"/>
      <c r="BU338" s="120"/>
    </row>
    <row r="339" spans="15:73"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20"/>
      <c r="AV339" s="120"/>
      <c r="AW339" s="120"/>
      <c r="AX339" s="120"/>
      <c r="AY339" s="120"/>
      <c r="AZ339" s="120"/>
      <c r="BA339" s="120"/>
      <c r="BB339" s="120"/>
      <c r="BC339" s="120"/>
      <c r="BD339" s="120"/>
      <c r="BE339" s="120"/>
      <c r="BF339" s="120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20"/>
      <c r="BS339" s="120"/>
      <c r="BT339" s="120"/>
      <c r="BU339" s="120"/>
    </row>
    <row r="340" spans="15:73"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20"/>
      <c r="AV340" s="120"/>
      <c r="AW340" s="120"/>
      <c r="AX340" s="120"/>
      <c r="AY340" s="120"/>
      <c r="AZ340" s="120"/>
      <c r="BA340" s="120"/>
      <c r="BB340" s="120"/>
      <c r="BC340" s="120"/>
      <c r="BD340" s="120"/>
      <c r="BE340" s="120"/>
      <c r="BF340" s="120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20"/>
      <c r="BS340" s="120"/>
      <c r="BT340" s="120"/>
      <c r="BU340" s="120"/>
    </row>
    <row r="341" spans="15:73"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20"/>
      <c r="AV341" s="120"/>
      <c r="AW341" s="120"/>
      <c r="AX341" s="120"/>
      <c r="AY341" s="120"/>
      <c r="AZ341" s="120"/>
      <c r="BA341" s="120"/>
      <c r="BB341" s="120"/>
      <c r="BC341" s="120"/>
      <c r="BD341" s="120"/>
      <c r="BE341" s="120"/>
      <c r="BF341" s="120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20"/>
      <c r="BS341" s="120"/>
      <c r="BT341" s="120"/>
      <c r="BU341" s="120"/>
    </row>
    <row r="342" spans="15:73"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20"/>
      <c r="AV342" s="120"/>
      <c r="AW342" s="120"/>
      <c r="AX342" s="120"/>
      <c r="AY342" s="120"/>
      <c r="AZ342" s="120"/>
      <c r="BA342" s="120"/>
      <c r="BB342" s="120"/>
      <c r="BC342" s="120"/>
      <c r="BD342" s="120"/>
      <c r="BE342" s="120"/>
      <c r="BF342" s="120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20"/>
      <c r="BS342" s="120"/>
      <c r="BT342" s="120"/>
      <c r="BU342" s="120"/>
    </row>
    <row r="343" spans="15:73"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20"/>
      <c r="AV343" s="120"/>
      <c r="AW343" s="120"/>
      <c r="AX343" s="120"/>
      <c r="AY343" s="120"/>
      <c r="AZ343" s="120"/>
      <c r="BA343" s="120"/>
      <c r="BB343" s="120"/>
      <c r="BC343" s="120"/>
      <c r="BD343" s="120"/>
      <c r="BE343" s="120"/>
      <c r="BF343" s="120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20"/>
      <c r="BS343" s="120"/>
      <c r="BT343" s="120"/>
      <c r="BU343" s="120"/>
    </row>
    <row r="344" spans="15:73"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20"/>
      <c r="AV344" s="120"/>
      <c r="AW344" s="120"/>
      <c r="AX344" s="120"/>
      <c r="AY344" s="120"/>
      <c r="AZ344" s="120"/>
      <c r="BA344" s="120"/>
      <c r="BB344" s="120"/>
      <c r="BC344" s="120"/>
      <c r="BD344" s="120"/>
      <c r="BE344" s="120"/>
      <c r="BF344" s="120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20"/>
      <c r="BS344" s="120"/>
      <c r="BT344" s="120"/>
      <c r="BU344" s="120"/>
    </row>
    <row r="345" spans="15:73"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20"/>
      <c r="AV345" s="120"/>
      <c r="AW345" s="120"/>
      <c r="AX345" s="120"/>
      <c r="AY345" s="120"/>
      <c r="AZ345" s="120"/>
      <c r="BA345" s="120"/>
      <c r="BB345" s="120"/>
      <c r="BC345" s="120"/>
      <c r="BD345" s="120"/>
      <c r="BE345" s="120"/>
      <c r="BF345" s="120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20"/>
      <c r="BS345" s="120"/>
      <c r="BT345" s="120"/>
      <c r="BU345" s="120"/>
    </row>
    <row r="346" spans="15:73"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20"/>
      <c r="AV346" s="120"/>
      <c r="AW346" s="120"/>
      <c r="AX346" s="120"/>
      <c r="AY346" s="120"/>
      <c r="AZ346" s="120"/>
      <c r="BA346" s="120"/>
      <c r="BB346" s="120"/>
      <c r="BC346" s="120"/>
      <c r="BD346" s="120"/>
      <c r="BE346" s="120"/>
      <c r="BF346" s="120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20"/>
      <c r="BS346" s="120"/>
      <c r="BT346" s="120"/>
      <c r="BU346" s="120"/>
    </row>
    <row r="347" spans="15:73"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20"/>
      <c r="AV347" s="120"/>
      <c r="AW347" s="120"/>
      <c r="AX347" s="120"/>
      <c r="AY347" s="120"/>
      <c r="AZ347" s="120"/>
      <c r="BA347" s="120"/>
      <c r="BB347" s="120"/>
      <c r="BC347" s="120"/>
      <c r="BD347" s="120"/>
      <c r="BE347" s="120"/>
      <c r="BF347" s="120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20"/>
      <c r="BS347" s="120"/>
      <c r="BT347" s="120"/>
      <c r="BU347" s="120"/>
    </row>
    <row r="348" spans="15:73"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20"/>
      <c r="AV348" s="120"/>
      <c r="AW348" s="120"/>
      <c r="AX348" s="120"/>
      <c r="AY348" s="120"/>
      <c r="AZ348" s="120"/>
      <c r="BA348" s="120"/>
      <c r="BB348" s="120"/>
      <c r="BC348" s="120"/>
      <c r="BD348" s="120"/>
      <c r="BE348" s="120"/>
      <c r="BF348" s="120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20"/>
      <c r="BS348" s="120"/>
      <c r="BT348" s="120"/>
      <c r="BU348" s="120"/>
    </row>
    <row r="349" spans="15:73"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20"/>
      <c r="AV349" s="120"/>
      <c r="AW349" s="120"/>
      <c r="AX349" s="120"/>
      <c r="AY349" s="120"/>
      <c r="AZ349" s="120"/>
      <c r="BA349" s="120"/>
      <c r="BB349" s="120"/>
      <c r="BC349" s="120"/>
      <c r="BD349" s="120"/>
      <c r="BE349" s="120"/>
      <c r="BF349" s="120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20"/>
      <c r="BS349" s="120"/>
      <c r="BT349" s="120"/>
      <c r="BU349" s="120"/>
    </row>
    <row r="350" spans="15:73"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20"/>
      <c r="AV350" s="120"/>
      <c r="AW350" s="120"/>
      <c r="AX350" s="120"/>
      <c r="AY350" s="120"/>
      <c r="AZ350" s="120"/>
      <c r="BA350" s="120"/>
      <c r="BB350" s="120"/>
      <c r="BC350" s="120"/>
      <c r="BD350" s="120"/>
      <c r="BE350" s="120"/>
      <c r="BF350" s="120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20"/>
      <c r="BS350" s="120"/>
      <c r="BT350" s="120"/>
      <c r="BU350" s="120"/>
    </row>
    <row r="351" spans="15:73"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20"/>
      <c r="AV351" s="120"/>
      <c r="AW351" s="120"/>
      <c r="AX351" s="120"/>
      <c r="AY351" s="120"/>
      <c r="AZ351" s="120"/>
      <c r="BA351" s="120"/>
      <c r="BB351" s="120"/>
      <c r="BC351" s="120"/>
      <c r="BD351" s="120"/>
      <c r="BE351" s="120"/>
      <c r="BF351" s="120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20"/>
      <c r="BS351" s="120"/>
      <c r="BT351" s="120"/>
      <c r="BU351" s="120"/>
    </row>
    <row r="352" spans="15:73"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20"/>
      <c r="AV352" s="120"/>
      <c r="AW352" s="120"/>
      <c r="AX352" s="120"/>
      <c r="AY352" s="120"/>
      <c r="AZ352" s="120"/>
      <c r="BA352" s="120"/>
      <c r="BB352" s="120"/>
      <c r="BC352" s="120"/>
      <c r="BD352" s="120"/>
      <c r="BE352" s="120"/>
      <c r="BF352" s="120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20"/>
      <c r="BS352" s="120"/>
      <c r="BT352" s="120"/>
      <c r="BU352" s="120"/>
    </row>
    <row r="353" spans="15:73"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20"/>
      <c r="AV353" s="120"/>
      <c r="AW353" s="120"/>
      <c r="AX353" s="120"/>
      <c r="AY353" s="120"/>
      <c r="AZ353" s="120"/>
      <c r="BA353" s="120"/>
      <c r="BB353" s="120"/>
      <c r="BC353" s="120"/>
      <c r="BD353" s="120"/>
      <c r="BE353" s="120"/>
      <c r="BF353" s="120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20"/>
      <c r="BS353" s="120"/>
      <c r="BT353" s="120"/>
      <c r="BU353" s="120"/>
    </row>
    <row r="354" spans="15:73"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20"/>
      <c r="AV354" s="120"/>
      <c r="AW354" s="120"/>
      <c r="AX354" s="120"/>
      <c r="AY354" s="120"/>
      <c r="AZ354" s="120"/>
      <c r="BA354" s="120"/>
      <c r="BB354" s="120"/>
      <c r="BC354" s="120"/>
      <c r="BD354" s="120"/>
      <c r="BE354" s="120"/>
      <c r="BF354" s="120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20"/>
      <c r="BS354" s="120"/>
      <c r="BT354" s="120"/>
      <c r="BU354" s="120"/>
    </row>
    <row r="355" spans="15:73"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20"/>
      <c r="AV355" s="120"/>
      <c r="AW355" s="120"/>
      <c r="AX355" s="120"/>
      <c r="AY355" s="120"/>
      <c r="AZ355" s="120"/>
      <c r="BA355" s="120"/>
      <c r="BB355" s="120"/>
      <c r="BC355" s="120"/>
      <c r="BD355" s="120"/>
      <c r="BE355" s="120"/>
      <c r="BF355" s="120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20"/>
      <c r="BS355" s="120"/>
      <c r="BT355" s="120"/>
      <c r="BU355" s="120"/>
    </row>
    <row r="356" spans="15:73"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20"/>
      <c r="AV356" s="120"/>
      <c r="AW356" s="120"/>
      <c r="AX356" s="120"/>
      <c r="AY356" s="120"/>
      <c r="AZ356" s="120"/>
      <c r="BA356" s="120"/>
      <c r="BB356" s="120"/>
      <c r="BC356" s="120"/>
      <c r="BD356" s="120"/>
      <c r="BE356" s="120"/>
      <c r="BF356" s="120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20"/>
      <c r="BS356" s="120"/>
      <c r="BT356" s="120"/>
      <c r="BU356" s="120"/>
    </row>
    <row r="357" spans="15:73"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20"/>
      <c r="AV357" s="120"/>
      <c r="AW357" s="120"/>
      <c r="AX357" s="120"/>
      <c r="AY357" s="120"/>
      <c r="AZ357" s="120"/>
      <c r="BA357" s="120"/>
      <c r="BB357" s="120"/>
      <c r="BC357" s="120"/>
      <c r="BD357" s="120"/>
      <c r="BE357" s="120"/>
      <c r="BF357" s="120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20"/>
      <c r="BS357" s="120"/>
      <c r="BT357" s="120"/>
      <c r="BU357" s="120"/>
    </row>
    <row r="358" spans="15:73"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20"/>
      <c r="AV358" s="120"/>
      <c r="AW358" s="120"/>
      <c r="AX358" s="120"/>
      <c r="AY358" s="120"/>
      <c r="AZ358" s="120"/>
      <c r="BA358" s="120"/>
      <c r="BB358" s="120"/>
      <c r="BC358" s="120"/>
      <c r="BD358" s="120"/>
      <c r="BE358" s="120"/>
      <c r="BF358" s="120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20"/>
      <c r="BS358" s="120"/>
      <c r="BT358" s="120"/>
      <c r="BU358" s="120"/>
    </row>
    <row r="359" spans="15:73"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20"/>
      <c r="AV359" s="120"/>
      <c r="AW359" s="120"/>
      <c r="AX359" s="120"/>
      <c r="AY359" s="120"/>
      <c r="AZ359" s="120"/>
      <c r="BA359" s="120"/>
      <c r="BB359" s="120"/>
      <c r="BC359" s="120"/>
      <c r="BD359" s="120"/>
      <c r="BE359" s="120"/>
      <c r="BF359" s="120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20"/>
      <c r="BS359" s="120"/>
      <c r="BT359" s="120"/>
      <c r="BU359" s="120"/>
    </row>
    <row r="360" spans="15:73"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20"/>
      <c r="AV360" s="120"/>
      <c r="AW360" s="120"/>
      <c r="AX360" s="120"/>
      <c r="AY360" s="120"/>
      <c r="AZ360" s="120"/>
      <c r="BA360" s="120"/>
      <c r="BB360" s="120"/>
      <c r="BC360" s="120"/>
      <c r="BD360" s="120"/>
      <c r="BE360" s="120"/>
      <c r="BF360" s="120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20"/>
      <c r="BS360" s="120"/>
      <c r="BT360" s="120"/>
      <c r="BU360" s="120"/>
    </row>
    <row r="361" spans="15:73"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20"/>
      <c r="AV361" s="120"/>
      <c r="AW361" s="120"/>
      <c r="AX361" s="120"/>
      <c r="AY361" s="120"/>
      <c r="AZ361" s="120"/>
      <c r="BA361" s="120"/>
      <c r="BB361" s="120"/>
      <c r="BC361" s="120"/>
      <c r="BD361" s="120"/>
      <c r="BE361" s="120"/>
      <c r="BF361" s="120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20"/>
      <c r="BS361" s="120"/>
      <c r="BT361" s="120"/>
      <c r="BU361" s="120"/>
    </row>
    <row r="362" spans="15:73"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20"/>
      <c r="AV362" s="120"/>
      <c r="AW362" s="120"/>
      <c r="AX362" s="120"/>
      <c r="AY362" s="120"/>
      <c r="AZ362" s="120"/>
      <c r="BA362" s="120"/>
      <c r="BB362" s="120"/>
      <c r="BC362" s="120"/>
      <c r="BD362" s="120"/>
      <c r="BE362" s="120"/>
      <c r="BF362" s="120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20"/>
      <c r="BS362" s="120"/>
      <c r="BT362" s="120"/>
      <c r="BU362" s="120"/>
    </row>
    <row r="363" spans="15:73"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20"/>
      <c r="AV363" s="120"/>
      <c r="AW363" s="120"/>
      <c r="AX363" s="120"/>
      <c r="AY363" s="120"/>
      <c r="AZ363" s="120"/>
      <c r="BA363" s="120"/>
      <c r="BB363" s="120"/>
      <c r="BC363" s="120"/>
      <c r="BD363" s="120"/>
      <c r="BE363" s="120"/>
      <c r="BF363" s="120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20"/>
      <c r="BS363" s="120"/>
      <c r="BT363" s="120"/>
      <c r="BU363" s="120"/>
    </row>
    <row r="364" spans="15:73"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20"/>
      <c r="AV364" s="120"/>
      <c r="AW364" s="120"/>
      <c r="AX364" s="120"/>
      <c r="AY364" s="120"/>
      <c r="AZ364" s="120"/>
      <c r="BA364" s="120"/>
      <c r="BB364" s="120"/>
      <c r="BC364" s="120"/>
      <c r="BD364" s="120"/>
      <c r="BE364" s="120"/>
      <c r="BF364" s="120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20"/>
      <c r="BS364" s="120"/>
      <c r="BT364" s="120"/>
      <c r="BU364" s="120"/>
    </row>
    <row r="365" spans="15:73"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20"/>
      <c r="AV365" s="120"/>
      <c r="AW365" s="120"/>
      <c r="AX365" s="120"/>
      <c r="AY365" s="120"/>
      <c r="AZ365" s="120"/>
      <c r="BA365" s="120"/>
      <c r="BB365" s="120"/>
      <c r="BC365" s="120"/>
      <c r="BD365" s="120"/>
      <c r="BE365" s="120"/>
      <c r="BF365" s="120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20"/>
      <c r="BS365" s="120"/>
      <c r="BT365" s="120"/>
      <c r="BU365" s="120"/>
    </row>
    <row r="366" spans="15:73">
      <c r="O366" s="120"/>
      <c r="P366" s="120"/>
      <c r="Q366" s="120"/>
      <c r="R366" s="120"/>
      <c r="S366" s="120"/>
      <c r="T366" s="120"/>
      <c r="U366" s="120"/>
      <c r="V366" s="120"/>
      <c r="W366" s="120"/>
      <c r="X366" s="120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20"/>
      <c r="AM366" s="120"/>
      <c r="AN366" s="120"/>
      <c r="AO366" s="120"/>
      <c r="AP366" s="120"/>
      <c r="AQ366" s="120"/>
      <c r="AR366" s="120"/>
      <c r="AS366" s="120"/>
      <c r="AT366" s="120"/>
      <c r="AU366" s="120"/>
      <c r="AV366" s="120"/>
      <c r="AW366" s="120"/>
      <c r="AX366" s="120"/>
      <c r="AY366" s="120"/>
      <c r="AZ366" s="120"/>
      <c r="BA366" s="120"/>
      <c r="BB366" s="120"/>
      <c r="BC366" s="120"/>
      <c r="BD366" s="120"/>
      <c r="BE366" s="120"/>
      <c r="BF366" s="120"/>
      <c r="BG366" s="120"/>
      <c r="BH366" s="120"/>
      <c r="BI366" s="120"/>
      <c r="BJ366" s="120"/>
      <c r="BK366" s="120"/>
      <c r="BL366" s="120"/>
      <c r="BM366" s="120"/>
      <c r="BN366" s="120"/>
      <c r="BO366" s="120"/>
      <c r="BP366" s="120"/>
      <c r="BQ366" s="120"/>
      <c r="BR366" s="120"/>
      <c r="BS366" s="120"/>
      <c r="BT366" s="120"/>
      <c r="BU366" s="120"/>
    </row>
    <row r="367" spans="15:73"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20"/>
      <c r="AV367" s="120"/>
      <c r="AW367" s="120"/>
      <c r="AX367" s="120"/>
      <c r="AY367" s="120"/>
      <c r="AZ367" s="120"/>
      <c r="BA367" s="120"/>
      <c r="BB367" s="120"/>
      <c r="BC367" s="120"/>
      <c r="BD367" s="120"/>
      <c r="BE367" s="120"/>
      <c r="BF367" s="120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20"/>
      <c r="BS367" s="120"/>
      <c r="BT367" s="120"/>
      <c r="BU367" s="120"/>
    </row>
    <row r="368" spans="15:73"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20"/>
      <c r="AV368" s="120"/>
      <c r="AW368" s="120"/>
      <c r="AX368" s="120"/>
      <c r="AY368" s="120"/>
      <c r="AZ368" s="120"/>
      <c r="BA368" s="120"/>
      <c r="BB368" s="120"/>
      <c r="BC368" s="120"/>
      <c r="BD368" s="120"/>
      <c r="BE368" s="120"/>
      <c r="BF368" s="120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20"/>
      <c r="BS368" s="120"/>
      <c r="BT368" s="120"/>
      <c r="BU368" s="120"/>
    </row>
    <row r="369" spans="15:73"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20"/>
      <c r="AV369" s="120"/>
      <c r="AW369" s="120"/>
      <c r="AX369" s="120"/>
      <c r="AY369" s="120"/>
      <c r="AZ369" s="120"/>
      <c r="BA369" s="120"/>
      <c r="BB369" s="120"/>
      <c r="BC369" s="120"/>
      <c r="BD369" s="120"/>
      <c r="BE369" s="120"/>
      <c r="BF369" s="120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20"/>
      <c r="BS369" s="120"/>
      <c r="BT369" s="120"/>
      <c r="BU369" s="120"/>
    </row>
    <row r="370" spans="15:73"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20"/>
      <c r="AV370" s="120"/>
      <c r="AW370" s="120"/>
      <c r="AX370" s="120"/>
      <c r="AY370" s="120"/>
      <c r="AZ370" s="120"/>
      <c r="BA370" s="120"/>
      <c r="BB370" s="120"/>
      <c r="BC370" s="120"/>
      <c r="BD370" s="120"/>
      <c r="BE370" s="120"/>
      <c r="BF370" s="120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20"/>
      <c r="BS370" s="120"/>
      <c r="BT370" s="120"/>
      <c r="BU370" s="120"/>
    </row>
    <row r="371" spans="15:73"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20"/>
      <c r="AV371" s="120"/>
      <c r="AW371" s="120"/>
      <c r="AX371" s="120"/>
      <c r="AY371" s="120"/>
      <c r="AZ371" s="120"/>
      <c r="BA371" s="120"/>
      <c r="BB371" s="120"/>
      <c r="BC371" s="120"/>
      <c r="BD371" s="120"/>
      <c r="BE371" s="120"/>
      <c r="BF371" s="120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20"/>
      <c r="BS371" s="120"/>
      <c r="BT371" s="120"/>
      <c r="BU371" s="120"/>
    </row>
    <row r="372" spans="15:73"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20"/>
      <c r="AV372" s="120"/>
      <c r="AW372" s="120"/>
      <c r="AX372" s="120"/>
      <c r="AY372" s="120"/>
      <c r="AZ372" s="120"/>
      <c r="BA372" s="120"/>
      <c r="BB372" s="120"/>
      <c r="BC372" s="120"/>
      <c r="BD372" s="120"/>
      <c r="BE372" s="120"/>
      <c r="BF372" s="120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20"/>
      <c r="BS372" s="120"/>
      <c r="BT372" s="120"/>
      <c r="BU372" s="120"/>
    </row>
    <row r="373" spans="15:73"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20"/>
      <c r="AV373" s="120"/>
      <c r="AW373" s="120"/>
      <c r="AX373" s="120"/>
      <c r="AY373" s="120"/>
      <c r="AZ373" s="120"/>
      <c r="BA373" s="120"/>
      <c r="BB373" s="120"/>
      <c r="BC373" s="120"/>
      <c r="BD373" s="120"/>
      <c r="BE373" s="120"/>
      <c r="BF373" s="120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20"/>
      <c r="BS373" s="120"/>
      <c r="BT373" s="120"/>
      <c r="BU373" s="120"/>
    </row>
    <row r="374" spans="15:73"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20"/>
      <c r="AV374" s="120"/>
      <c r="AW374" s="120"/>
      <c r="AX374" s="120"/>
      <c r="AY374" s="120"/>
      <c r="AZ374" s="120"/>
      <c r="BA374" s="120"/>
      <c r="BB374" s="120"/>
      <c r="BC374" s="120"/>
      <c r="BD374" s="120"/>
      <c r="BE374" s="120"/>
      <c r="BF374" s="120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20"/>
      <c r="BS374" s="120"/>
      <c r="BT374" s="120"/>
      <c r="BU374" s="120"/>
    </row>
    <row r="375" spans="15:73"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20"/>
      <c r="AV375" s="120"/>
      <c r="AW375" s="120"/>
      <c r="AX375" s="120"/>
      <c r="AY375" s="120"/>
      <c r="AZ375" s="120"/>
      <c r="BA375" s="120"/>
      <c r="BB375" s="120"/>
      <c r="BC375" s="120"/>
      <c r="BD375" s="120"/>
      <c r="BE375" s="120"/>
      <c r="BF375" s="120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20"/>
      <c r="BS375" s="120"/>
      <c r="BT375" s="120"/>
      <c r="BU375" s="120"/>
    </row>
    <row r="376" spans="15:73"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20"/>
      <c r="AV376" s="120"/>
      <c r="AW376" s="120"/>
      <c r="AX376" s="120"/>
      <c r="AY376" s="120"/>
      <c r="AZ376" s="120"/>
      <c r="BA376" s="120"/>
      <c r="BB376" s="120"/>
      <c r="BC376" s="120"/>
      <c r="BD376" s="120"/>
      <c r="BE376" s="120"/>
      <c r="BF376" s="120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20"/>
      <c r="BS376" s="120"/>
      <c r="BT376" s="120"/>
      <c r="BU376" s="120"/>
    </row>
    <row r="377" spans="15:73"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20"/>
      <c r="AV377" s="120"/>
      <c r="AW377" s="120"/>
      <c r="AX377" s="120"/>
      <c r="AY377" s="120"/>
      <c r="AZ377" s="120"/>
      <c r="BA377" s="120"/>
      <c r="BB377" s="120"/>
      <c r="BC377" s="120"/>
      <c r="BD377" s="120"/>
      <c r="BE377" s="120"/>
      <c r="BF377" s="120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20"/>
      <c r="BS377" s="120"/>
      <c r="BT377" s="120"/>
      <c r="BU377" s="120"/>
    </row>
    <row r="378" spans="15:73">
      <c r="O378" s="120"/>
      <c r="P378" s="120"/>
      <c r="Q378" s="120"/>
      <c r="R378" s="120"/>
      <c r="S378" s="120"/>
      <c r="T378" s="120"/>
      <c r="U378" s="120"/>
      <c r="V378" s="120"/>
      <c r="W378" s="120"/>
      <c r="X378" s="120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20"/>
      <c r="AM378" s="120"/>
      <c r="AN378" s="120"/>
      <c r="AO378" s="120"/>
      <c r="AP378" s="120"/>
      <c r="AQ378" s="120"/>
      <c r="AR378" s="120"/>
      <c r="AS378" s="120"/>
      <c r="AT378" s="120"/>
      <c r="AU378" s="120"/>
      <c r="AV378" s="120"/>
      <c r="AW378" s="120"/>
      <c r="AX378" s="120"/>
      <c r="AY378" s="120"/>
      <c r="AZ378" s="120"/>
      <c r="BA378" s="120"/>
      <c r="BB378" s="120"/>
      <c r="BC378" s="120"/>
      <c r="BD378" s="120"/>
      <c r="BE378" s="120"/>
      <c r="BF378" s="120"/>
      <c r="BG378" s="120"/>
      <c r="BH378" s="120"/>
      <c r="BI378" s="120"/>
      <c r="BJ378" s="120"/>
      <c r="BK378" s="120"/>
      <c r="BL378" s="120"/>
      <c r="BM378" s="120"/>
      <c r="BN378" s="120"/>
      <c r="BO378" s="120"/>
      <c r="BP378" s="120"/>
      <c r="BQ378" s="120"/>
      <c r="BR378" s="120"/>
      <c r="BS378" s="120"/>
      <c r="BT378" s="120"/>
      <c r="BU378" s="120"/>
    </row>
    <row r="379" spans="15:73"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20"/>
      <c r="AV379" s="120"/>
      <c r="AW379" s="120"/>
      <c r="AX379" s="120"/>
      <c r="AY379" s="120"/>
      <c r="AZ379" s="120"/>
      <c r="BA379" s="120"/>
      <c r="BB379" s="120"/>
      <c r="BC379" s="120"/>
      <c r="BD379" s="120"/>
      <c r="BE379" s="120"/>
      <c r="BF379" s="120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20"/>
      <c r="BS379" s="120"/>
      <c r="BT379" s="120"/>
      <c r="BU379" s="120"/>
    </row>
    <row r="380" spans="15:73"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20"/>
      <c r="AV380" s="120"/>
      <c r="AW380" s="120"/>
      <c r="AX380" s="120"/>
      <c r="AY380" s="120"/>
      <c r="AZ380" s="120"/>
      <c r="BA380" s="120"/>
      <c r="BB380" s="120"/>
      <c r="BC380" s="120"/>
      <c r="BD380" s="120"/>
      <c r="BE380" s="120"/>
      <c r="BF380" s="120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20"/>
      <c r="BS380" s="120"/>
      <c r="BT380" s="120"/>
      <c r="BU380" s="120"/>
    </row>
    <row r="381" spans="15:73"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20"/>
      <c r="AV381" s="120"/>
      <c r="AW381" s="120"/>
      <c r="AX381" s="120"/>
      <c r="AY381" s="120"/>
      <c r="AZ381" s="120"/>
      <c r="BA381" s="120"/>
      <c r="BB381" s="120"/>
      <c r="BC381" s="120"/>
      <c r="BD381" s="120"/>
      <c r="BE381" s="120"/>
      <c r="BF381" s="120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20"/>
      <c r="BS381" s="120"/>
      <c r="BT381" s="120"/>
      <c r="BU381" s="120"/>
    </row>
    <row r="382" spans="15:73"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20"/>
      <c r="AV382" s="120"/>
      <c r="AW382" s="120"/>
      <c r="AX382" s="120"/>
      <c r="AY382" s="120"/>
      <c r="AZ382" s="120"/>
      <c r="BA382" s="120"/>
      <c r="BB382" s="120"/>
      <c r="BC382" s="120"/>
      <c r="BD382" s="120"/>
      <c r="BE382" s="120"/>
      <c r="BF382" s="120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20"/>
      <c r="BS382" s="120"/>
      <c r="BT382" s="120"/>
      <c r="BU382" s="120"/>
    </row>
    <row r="383" spans="15:73"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20"/>
      <c r="AV383" s="120"/>
      <c r="AW383" s="120"/>
      <c r="AX383" s="120"/>
      <c r="AY383" s="120"/>
      <c r="AZ383" s="120"/>
      <c r="BA383" s="120"/>
      <c r="BB383" s="120"/>
      <c r="BC383" s="120"/>
      <c r="BD383" s="120"/>
      <c r="BE383" s="120"/>
      <c r="BF383" s="120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20"/>
      <c r="BS383" s="120"/>
      <c r="BT383" s="120"/>
      <c r="BU383" s="120"/>
    </row>
    <row r="384" spans="15:73"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20"/>
      <c r="AV384" s="120"/>
      <c r="AW384" s="120"/>
      <c r="AX384" s="120"/>
      <c r="AY384" s="120"/>
      <c r="AZ384" s="120"/>
      <c r="BA384" s="120"/>
      <c r="BB384" s="120"/>
      <c r="BC384" s="120"/>
      <c r="BD384" s="120"/>
      <c r="BE384" s="120"/>
      <c r="BF384" s="120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20"/>
      <c r="BS384" s="120"/>
      <c r="BT384" s="120"/>
      <c r="BU384" s="120"/>
    </row>
    <row r="385" spans="15:73"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20"/>
      <c r="AV385" s="120"/>
      <c r="AW385" s="120"/>
      <c r="AX385" s="120"/>
      <c r="AY385" s="120"/>
      <c r="AZ385" s="120"/>
      <c r="BA385" s="120"/>
      <c r="BB385" s="120"/>
      <c r="BC385" s="120"/>
      <c r="BD385" s="120"/>
      <c r="BE385" s="120"/>
      <c r="BF385" s="120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20"/>
      <c r="BS385" s="120"/>
      <c r="BT385" s="120"/>
      <c r="BU385" s="120"/>
    </row>
    <row r="386" spans="15:73"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20"/>
      <c r="AV386" s="120"/>
      <c r="AW386" s="120"/>
      <c r="AX386" s="120"/>
      <c r="AY386" s="120"/>
      <c r="AZ386" s="120"/>
      <c r="BA386" s="120"/>
      <c r="BB386" s="120"/>
      <c r="BC386" s="120"/>
      <c r="BD386" s="120"/>
      <c r="BE386" s="120"/>
      <c r="BF386" s="120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20"/>
      <c r="BS386" s="120"/>
      <c r="BT386" s="120"/>
      <c r="BU386" s="120"/>
    </row>
    <row r="387" spans="15:73"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20"/>
      <c r="AV387" s="120"/>
      <c r="AW387" s="120"/>
      <c r="AX387" s="120"/>
      <c r="AY387" s="120"/>
      <c r="AZ387" s="120"/>
      <c r="BA387" s="120"/>
      <c r="BB387" s="120"/>
      <c r="BC387" s="120"/>
      <c r="BD387" s="120"/>
      <c r="BE387" s="120"/>
      <c r="BF387" s="120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20"/>
      <c r="BS387" s="120"/>
      <c r="BT387" s="120"/>
      <c r="BU387" s="120"/>
    </row>
    <row r="388" spans="15:73"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20"/>
      <c r="AV388" s="120"/>
      <c r="AW388" s="120"/>
      <c r="AX388" s="120"/>
      <c r="AY388" s="120"/>
      <c r="AZ388" s="120"/>
      <c r="BA388" s="120"/>
      <c r="BB388" s="120"/>
      <c r="BC388" s="120"/>
      <c r="BD388" s="120"/>
      <c r="BE388" s="120"/>
      <c r="BF388" s="120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20"/>
      <c r="BS388" s="120"/>
      <c r="BT388" s="120"/>
      <c r="BU388" s="120"/>
    </row>
    <row r="389" spans="15:73"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20"/>
      <c r="AV389" s="120"/>
      <c r="AW389" s="120"/>
      <c r="AX389" s="120"/>
      <c r="AY389" s="120"/>
      <c r="AZ389" s="120"/>
      <c r="BA389" s="120"/>
      <c r="BB389" s="120"/>
      <c r="BC389" s="120"/>
      <c r="BD389" s="120"/>
      <c r="BE389" s="120"/>
      <c r="BF389" s="120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20"/>
      <c r="BS389" s="120"/>
      <c r="BT389" s="120"/>
      <c r="BU389" s="120"/>
    </row>
    <row r="390" spans="15:73"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20"/>
      <c r="AV390" s="120"/>
      <c r="AW390" s="120"/>
      <c r="AX390" s="120"/>
      <c r="AY390" s="120"/>
      <c r="AZ390" s="120"/>
      <c r="BA390" s="120"/>
      <c r="BB390" s="120"/>
      <c r="BC390" s="120"/>
      <c r="BD390" s="120"/>
      <c r="BE390" s="120"/>
      <c r="BF390" s="120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20"/>
      <c r="BS390" s="120"/>
      <c r="BT390" s="120"/>
      <c r="BU390" s="120"/>
    </row>
    <row r="391" spans="15:73"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20"/>
      <c r="AV391" s="120"/>
      <c r="AW391" s="120"/>
      <c r="AX391" s="120"/>
      <c r="AY391" s="120"/>
      <c r="AZ391" s="120"/>
      <c r="BA391" s="120"/>
      <c r="BB391" s="120"/>
      <c r="BC391" s="120"/>
      <c r="BD391" s="120"/>
      <c r="BE391" s="120"/>
      <c r="BF391" s="120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20"/>
      <c r="BS391" s="120"/>
      <c r="BT391" s="120"/>
      <c r="BU391" s="120"/>
    </row>
    <row r="392" spans="15:73"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20"/>
      <c r="AV392" s="120"/>
      <c r="AW392" s="120"/>
      <c r="AX392" s="120"/>
      <c r="AY392" s="120"/>
      <c r="AZ392" s="120"/>
      <c r="BA392" s="120"/>
      <c r="BB392" s="120"/>
      <c r="BC392" s="120"/>
      <c r="BD392" s="120"/>
      <c r="BE392" s="120"/>
      <c r="BF392" s="120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20"/>
      <c r="BS392" s="120"/>
      <c r="BT392" s="120"/>
      <c r="BU392" s="120"/>
    </row>
    <row r="393" spans="15:73"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20"/>
      <c r="AV393" s="120"/>
      <c r="AW393" s="120"/>
      <c r="AX393" s="120"/>
      <c r="AY393" s="120"/>
      <c r="AZ393" s="120"/>
      <c r="BA393" s="120"/>
      <c r="BB393" s="120"/>
      <c r="BC393" s="120"/>
      <c r="BD393" s="120"/>
      <c r="BE393" s="120"/>
      <c r="BF393" s="120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20"/>
      <c r="BS393" s="120"/>
      <c r="BT393" s="120"/>
      <c r="BU393" s="120"/>
    </row>
    <row r="394" spans="15:73"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20"/>
      <c r="AV394" s="120"/>
      <c r="AW394" s="120"/>
      <c r="AX394" s="120"/>
      <c r="AY394" s="120"/>
      <c r="AZ394" s="120"/>
      <c r="BA394" s="120"/>
      <c r="BB394" s="120"/>
      <c r="BC394" s="120"/>
      <c r="BD394" s="120"/>
      <c r="BE394" s="120"/>
      <c r="BF394" s="120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20"/>
      <c r="BS394" s="120"/>
      <c r="BT394" s="120"/>
      <c r="BU394" s="120"/>
    </row>
    <row r="395" spans="15:73"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20"/>
      <c r="AV395" s="120"/>
      <c r="AW395" s="120"/>
      <c r="AX395" s="120"/>
      <c r="AY395" s="120"/>
      <c r="AZ395" s="120"/>
      <c r="BA395" s="120"/>
      <c r="BB395" s="120"/>
      <c r="BC395" s="120"/>
      <c r="BD395" s="120"/>
      <c r="BE395" s="120"/>
      <c r="BF395" s="120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20"/>
      <c r="BS395" s="120"/>
      <c r="BT395" s="120"/>
      <c r="BU395" s="120"/>
    </row>
    <row r="396" spans="15:73"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20"/>
      <c r="AV396" s="120"/>
      <c r="AW396" s="120"/>
      <c r="AX396" s="120"/>
      <c r="AY396" s="120"/>
      <c r="AZ396" s="120"/>
      <c r="BA396" s="120"/>
      <c r="BB396" s="120"/>
      <c r="BC396" s="120"/>
      <c r="BD396" s="120"/>
      <c r="BE396" s="120"/>
      <c r="BF396" s="120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20"/>
      <c r="BS396" s="120"/>
      <c r="BT396" s="120"/>
      <c r="BU396" s="120"/>
    </row>
    <row r="397" spans="15:73"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20"/>
      <c r="AV397" s="120"/>
      <c r="AW397" s="120"/>
      <c r="AX397" s="120"/>
      <c r="AY397" s="120"/>
      <c r="AZ397" s="120"/>
      <c r="BA397" s="120"/>
      <c r="BB397" s="120"/>
      <c r="BC397" s="120"/>
      <c r="BD397" s="120"/>
      <c r="BE397" s="120"/>
      <c r="BF397" s="120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20"/>
      <c r="BS397" s="120"/>
      <c r="BT397" s="120"/>
      <c r="BU397" s="120"/>
    </row>
    <row r="398" spans="15:73"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20"/>
      <c r="AV398" s="120"/>
      <c r="AW398" s="120"/>
      <c r="AX398" s="120"/>
      <c r="AY398" s="120"/>
      <c r="AZ398" s="120"/>
      <c r="BA398" s="120"/>
      <c r="BB398" s="120"/>
      <c r="BC398" s="120"/>
      <c r="BD398" s="120"/>
      <c r="BE398" s="120"/>
      <c r="BF398" s="120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20"/>
      <c r="BS398" s="120"/>
      <c r="BT398" s="120"/>
      <c r="BU398" s="120"/>
    </row>
    <row r="399" spans="15:73"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20"/>
      <c r="AV399" s="120"/>
      <c r="AW399" s="120"/>
      <c r="AX399" s="120"/>
      <c r="AY399" s="120"/>
      <c r="AZ399" s="120"/>
      <c r="BA399" s="120"/>
      <c r="BB399" s="120"/>
      <c r="BC399" s="120"/>
      <c r="BD399" s="120"/>
      <c r="BE399" s="120"/>
      <c r="BF399" s="120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20"/>
      <c r="BS399" s="120"/>
      <c r="BT399" s="120"/>
      <c r="BU399" s="120"/>
    </row>
    <row r="400" spans="15:73"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20"/>
      <c r="AV400" s="120"/>
      <c r="AW400" s="120"/>
      <c r="AX400" s="120"/>
      <c r="AY400" s="120"/>
      <c r="AZ400" s="120"/>
      <c r="BA400" s="120"/>
      <c r="BB400" s="120"/>
      <c r="BC400" s="120"/>
      <c r="BD400" s="120"/>
      <c r="BE400" s="120"/>
      <c r="BF400" s="120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20"/>
      <c r="BS400" s="120"/>
      <c r="BT400" s="120"/>
      <c r="BU400" s="120"/>
    </row>
    <row r="401" spans="15:73"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20"/>
      <c r="AV401" s="120"/>
      <c r="AW401" s="120"/>
      <c r="AX401" s="120"/>
      <c r="AY401" s="120"/>
      <c r="AZ401" s="120"/>
      <c r="BA401" s="120"/>
      <c r="BB401" s="120"/>
      <c r="BC401" s="120"/>
      <c r="BD401" s="120"/>
      <c r="BE401" s="120"/>
      <c r="BF401" s="120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20"/>
      <c r="BS401" s="120"/>
      <c r="BT401" s="120"/>
      <c r="BU401" s="120"/>
    </row>
    <row r="402" spans="15:73"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20"/>
      <c r="AV402" s="120"/>
      <c r="AW402" s="120"/>
      <c r="AX402" s="120"/>
      <c r="AY402" s="120"/>
      <c r="AZ402" s="120"/>
      <c r="BA402" s="120"/>
      <c r="BB402" s="120"/>
      <c r="BC402" s="120"/>
      <c r="BD402" s="120"/>
      <c r="BE402" s="120"/>
      <c r="BF402" s="120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20"/>
      <c r="BS402" s="120"/>
      <c r="BT402" s="120"/>
      <c r="BU402" s="120"/>
    </row>
    <row r="403" spans="15:73"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20"/>
      <c r="AV403" s="120"/>
      <c r="AW403" s="120"/>
      <c r="AX403" s="120"/>
      <c r="AY403" s="120"/>
      <c r="AZ403" s="120"/>
      <c r="BA403" s="120"/>
      <c r="BB403" s="120"/>
      <c r="BC403" s="120"/>
      <c r="BD403" s="120"/>
      <c r="BE403" s="120"/>
      <c r="BF403" s="120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20"/>
      <c r="BS403" s="120"/>
      <c r="BT403" s="120"/>
      <c r="BU403" s="120"/>
    </row>
    <row r="404" spans="15:73"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20"/>
      <c r="AV404" s="120"/>
      <c r="AW404" s="120"/>
      <c r="AX404" s="120"/>
      <c r="AY404" s="120"/>
      <c r="AZ404" s="120"/>
      <c r="BA404" s="120"/>
      <c r="BB404" s="120"/>
      <c r="BC404" s="120"/>
      <c r="BD404" s="120"/>
      <c r="BE404" s="120"/>
      <c r="BF404" s="120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20"/>
      <c r="BS404" s="120"/>
      <c r="BT404" s="120"/>
      <c r="BU404" s="120"/>
    </row>
    <row r="405" spans="15:73"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20"/>
      <c r="AV405" s="120"/>
      <c r="AW405" s="120"/>
      <c r="AX405" s="120"/>
      <c r="AY405" s="120"/>
      <c r="AZ405" s="120"/>
      <c r="BA405" s="120"/>
      <c r="BB405" s="120"/>
      <c r="BC405" s="120"/>
      <c r="BD405" s="120"/>
      <c r="BE405" s="120"/>
      <c r="BF405" s="120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20"/>
      <c r="BS405" s="120"/>
      <c r="BT405" s="120"/>
      <c r="BU405" s="120"/>
    </row>
    <row r="406" spans="15:73"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20"/>
      <c r="AV406" s="120"/>
      <c r="AW406" s="120"/>
      <c r="AX406" s="120"/>
      <c r="AY406" s="120"/>
      <c r="AZ406" s="120"/>
      <c r="BA406" s="120"/>
      <c r="BB406" s="120"/>
      <c r="BC406" s="120"/>
      <c r="BD406" s="120"/>
      <c r="BE406" s="120"/>
      <c r="BF406" s="120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20"/>
      <c r="BS406" s="120"/>
      <c r="BT406" s="120"/>
      <c r="BU406" s="120"/>
    </row>
    <row r="407" spans="15:73"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20"/>
      <c r="AV407" s="120"/>
      <c r="AW407" s="120"/>
      <c r="AX407" s="120"/>
      <c r="AY407" s="120"/>
      <c r="AZ407" s="120"/>
      <c r="BA407" s="120"/>
      <c r="BB407" s="120"/>
      <c r="BC407" s="120"/>
      <c r="BD407" s="120"/>
      <c r="BE407" s="120"/>
      <c r="BF407" s="120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20"/>
      <c r="BS407" s="120"/>
      <c r="BT407" s="120"/>
      <c r="BU407" s="120"/>
    </row>
    <row r="408" spans="15:73">
      <c r="O408" s="120"/>
      <c r="P408" s="120"/>
      <c r="Q408" s="120"/>
      <c r="R408" s="120"/>
      <c r="S408" s="120"/>
      <c r="T408" s="120"/>
      <c r="U408" s="120"/>
      <c r="V408" s="120"/>
      <c r="W408" s="120"/>
      <c r="X408" s="120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20"/>
      <c r="AM408" s="120"/>
      <c r="AN408" s="120"/>
      <c r="AO408" s="120"/>
      <c r="AP408" s="120"/>
      <c r="AQ408" s="120"/>
      <c r="AR408" s="120"/>
      <c r="AS408" s="120"/>
      <c r="AT408" s="120"/>
      <c r="AU408" s="120"/>
      <c r="AV408" s="120"/>
      <c r="AW408" s="120"/>
      <c r="AX408" s="120"/>
      <c r="AY408" s="120"/>
      <c r="AZ408" s="120"/>
      <c r="BA408" s="120"/>
      <c r="BB408" s="120"/>
      <c r="BC408" s="120"/>
      <c r="BD408" s="120"/>
      <c r="BE408" s="120"/>
      <c r="BF408" s="120"/>
      <c r="BG408" s="120"/>
      <c r="BH408" s="120"/>
      <c r="BI408" s="120"/>
      <c r="BJ408" s="120"/>
      <c r="BK408" s="120"/>
      <c r="BL408" s="120"/>
      <c r="BM408" s="120"/>
      <c r="BN408" s="120"/>
      <c r="BO408" s="120"/>
      <c r="BP408" s="120"/>
      <c r="BQ408" s="120"/>
      <c r="BR408" s="120"/>
      <c r="BS408" s="120"/>
      <c r="BT408" s="120"/>
      <c r="BU408" s="120"/>
    </row>
    <row r="409" spans="15:73"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20"/>
      <c r="AV409" s="120"/>
      <c r="AW409" s="120"/>
      <c r="AX409" s="120"/>
      <c r="AY409" s="120"/>
      <c r="AZ409" s="120"/>
      <c r="BA409" s="120"/>
      <c r="BB409" s="120"/>
      <c r="BC409" s="120"/>
      <c r="BD409" s="120"/>
      <c r="BE409" s="120"/>
      <c r="BF409" s="120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20"/>
      <c r="BS409" s="120"/>
      <c r="BT409" s="120"/>
      <c r="BU409" s="120"/>
    </row>
    <row r="410" spans="15:73"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20"/>
      <c r="AV410" s="120"/>
      <c r="AW410" s="120"/>
      <c r="AX410" s="120"/>
      <c r="AY410" s="120"/>
      <c r="AZ410" s="120"/>
      <c r="BA410" s="120"/>
      <c r="BB410" s="120"/>
      <c r="BC410" s="120"/>
      <c r="BD410" s="120"/>
      <c r="BE410" s="120"/>
      <c r="BF410" s="120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20"/>
      <c r="BS410" s="120"/>
      <c r="BT410" s="120"/>
      <c r="BU410" s="120"/>
    </row>
    <row r="411" spans="15:73"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20"/>
      <c r="AV411" s="120"/>
      <c r="AW411" s="120"/>
      <c r="AX411" s="120"/>
      <c r="AY411" s="120"/>
      <c r="AZ411" s="120"/>
      <c r="BA411" s="120"/>
      <c r="BB411" s="120"/>
      <c r="BC411" s="120"/>
      <c r="BD411" s="120"/>
      <c r="BE411" s="120"/>
      <c r="BF411" s="120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20"/>
      <c r="BS411" s="120"/>
      <c r="BT411" s="120"/>
      <c r="BU411" s="120"/>
    </row>
    <row r="412" spans="15:73"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20"/>
      <c r="AV412" s="120"/>
      <c r="AW412" s="120"/>
      <c r="AX412" s="120"/>
      <c r="AY412" s="120"/>
      <c r="AZ412" s="120"/>
      <c r="BA412" s="120"/>
      <c r="BB412" s="120"/>
      <c r="BC412" s="120"/>
      <c r="BD412" s="120"/>
      <c r="BE412" s="120"/>
      <c r="BF412" s="120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20"/>
      <c r="BS412" s="120"/>
      <c r="BT412" s="120"/>
      <c r="BU412" s="120"/>
    </row>
    <row r="413" spans="15:73"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20"/>
      <c r="AV413" s="120"/>
      <c r="AW413" s="120"/>
      <c r="AX413" s="120"/>
      <c r="AY413" s="120"/>
      <c r="AZ413" s="120"/>
      <c r="BA413" s="120"/>
      <c r="BB413" s="120"/>
      <c r="BC413" s="120"/>
      <c r="BD413" s="120"/>
      <c r="BE413" s="120"/>
      <c r="BF413" s="120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20"/>
      <c r="BS413" s="120"/>
      <c r="BT413" s="120"/>
      <c r="BU413" s="120"/>
    </row>
    <row r="414" spans="15:73"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20"/>
      <c r="AV414" s="120"/>
      <c r="AW414" s="120"/>
      <c r="AX414" s="120"/>
      <c r="AY414" s="120"/>
      <c r="AZ414" s="120"/>
      <c r="BA414" s="120"/>
      <c r="BB414" s="120"/>
      <c r="BC414" s="120"/>
      <c r="BD414" s="120"/>
      <c r="BE414" s="120"/>
      <c r="BF414" s="120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20"/>
      <c r="BS414" s="120"/>
      <c r="BT414" s="120"/>
      <c r="BU414" s="120"/>
    </row>
    <row r="415" spans="15:73"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20"/>
      <c r="AV415" s="120"/>
      <c r="AW415" s="120"/>
      <c r="AX415" s="120"/>
      <c r="AY415" s="120"/>
      <c r="AZ415" s="120"/>
      <c r="BA415" s="120"/>
      <c r="BB415" s="120"/>
      <c r="BC415" s="120"/>
      <c r="BD415" s="120"/>
      <c r="BE415" s="120"/>
      <c r="BF415" s="120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20"/>
      <c r="BS415" s="120"/>
      <c r="BT415" s="120"/>
      <c r="BU415" s="120"/>
    </row>
    <row r="416" spans="15:73"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20"/>
      <c r="AV416" s="120"/>
      <c r="AW416" s="120"/>
      <c r="AX416" s="120"/>
      <c r="AY416" s="120"/>
      <c r="AZ416" s="120"/>
      <c r="BA416" s="120"/>
      <c r="BB416" s="120"/>
      <c r="BC416" s="120"/>
      <c r="BD416" s="120"/>
      <c r="BE416" s="120"/>
      <c r="BF416" s="120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20"/>
      <c r="BS416" s="120"/>
      <c r="BT416" s="120"/>
      <c r="BU416" s="120"/>
    </row>
    <row r="417" spans="15:73"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20"/>
      <c r="AV417" s="120"/>
      <c r="AW417" s="120"/>
      <c r="AX417" s="120"/>
      <c r="AY417" s="120"/>
      <c r="AZ417" s="120"/>
      <c r="BA417" s="120"/>
      <c r="BB417" s="120"/>
      <c r="BC417" s="120"/>
      <c r="BD417" s="120"/>
      <c r="BE417" s="120"/>
      <c r="BF417" s="120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20"/>
      <c r="BS417" s="120"/>
      <c r="BT417" s="120"/>
      <c r="BU417" s="120"/>
    </row>
    <row r="418" spans="15:73"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20"/>
      <c r="AV418" s="120"/>
      <c r="AW418" s="120"/>
      <c r="AX418" s="120"/>
      <c r="AY418" s="120"/>
      <c r="AZ418" s="120"/>
      <c r="BA418" s="120"/>
      <c r="BB418" s="120"/>
      <c r="BC418" s="120"/>
      <c r="BD418" s="120"/>
      <c r="BE418" s="120"/>
      <c r="BF418" s="120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20"/>
      <c r="BS418" s="120"/>
      <c r="BT418" s="120"/>
      <c r="BU418" s="120"/>
    </row>
    <row r="419" spans="15:73"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20"/>
      <c r="AV419" s="120"/>
      <c r="AW419" s="120"/>
      <c r="AX419" s="120"/>
      <c r="AY419" s="120"/>
      <c r="AZ419" s="120"/>
      <c r="BA419" s="120"/>
      <c r="BB419" s="120"/>
      <c r="BC419" s="120"/>
      <c r="BD419" s="120"/>
      <c r="BE419" s="120"/>
      <c r="BF419" s="120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20"/>
      <c r="BS419" s="120"/>
      <c r="BT419" s="120"/>
      <c r="BU419" s="120"/>
    </row>
    <row r="420" spans="15:73"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20"/>
      <c r="AV420" s="120"/>
      <c r="AW420" s="120"/>
      <c r="AX420" s="120"/>
      <c r="AY420" s="120"/>
      <c r="AZ420" s="120"/>
      <c r="BA420" s="120"/>
      <c r="BB420" s="120"/>
      <c r="BC420" s="120"/>
      <c r="BD420" s="120"/>
      <c r="BE420" s="120"/>
      <c r="BF420" s="120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20"/>
      <c r="BS420" s="120"/>
      <c r="BT420" s="120"/>
      <c r="BU420" s="120"/>
    </row>
    <row r="421" spans="15:73"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20"/>
      <c r="AV421" s="120"/>
      <c r="AW421" s="120"/>
      <c r="AX421" s="120"/>
      <c r="AY421" s="120"/>
      <c r="AZ421" s="120"/>
      <c r="BA421" s="120"/>
      <c r="BB421" s="120"/>
      <c r="BC421" s="120"/>
      <c r="BD421" s="120"/>
      <c r="BE421" s="120"/>
      <c r="BF421" s="120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20"/>
      <c r="BS421" s="120"/>
      <c r="BT421" s="120"/>
      <c r="BU421" s="120"/>
    </row>
    <row r="422" spans="15:73">
      <c r="O422" s="120"/>
      <c r="P422" s="120"/>
      <c r="Q422" s="120"/>
      <c r="R422" s="120"/>
      <c r="S422" s="120"/>
      <c r="T422" s="120"/>
      <c r="U422" s="120"/>
      <c r="V422" s="120"/>
      <c r="W422" s="120"/>
      <c r="X422" s="120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20"/>
      <c r="AM422" s="120"/>
      <c r="AN422" s="120"/>
      <c r="AO422" s="120"/>
      <c r="AP422" s="120"/>
      <c r="AQ422" s="120"/>
      <c r="AR422" s="120"/>
      <c r="AS422" s="120"/>
      <c r="AT422" s="120"/>
      <c r="AU422" s="120"/>
      <c r="AV422" s="120"/>
      <c r="AW422" s="120"/>
      <c r="AX422" s="120"/>
      <c r="AY422" s="120"/>
      <c r="AZ422" s="120"/>
      <c r="BA422" s="120"/>
      <c r="BB422" s="120"/>
      <c r="BC422" s="120"/>
      <c r="BD422" s="120"/>
      <c r="BE422" s="120"/>
      <c r="BF422" s="120"/>
      <c r="BG422" s="120"/>
      <c r="BH422" s="120"/>
      <c r="BI422" s="120"/>
      <c r="BJ422" s="120"/>
      <c r="BK422" s="120"/>
      <c r="BL422" s="120"/>
      <c r="BM422" s="120"/>
      <c r="BN422" s="120"/>
      <c r="BO422" s="120"/>
      <c r="BP422" s="120"/>
      <c r="BQ422" s="120"/>
      <c r="BR422" s="120"/>
      <c r="BS422" s="120"/>
      <c r="BT422" s="120"/>
      <c r="BU422" s="120"/>
    </row>
    <row r="423" spans="15:73"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20"/>
      <c r="AV423" s="120"/>
      <c r="AW423" s="120"/>
      <c r="AX423" s="120"/>
      <c r="AY423" s="120"/>
      <c r="AZ423" s="120"/>
      <c r="BA423" s="120"/>
      <c r="BB423" s="120"/>
      <c r="BC423" s="120"/>
      <c r="BD423" s="120"/>
      <c r="BE423" s="120"/>
      <c r="BF423" s="120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20"/>
      <c r="BS423" s="120"/>
      <c r="BT423" s="120"/>
      <c r="BU423" s="120"/>
    </row>
    <row r="424" spans="15:73"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20"/>
      <c r="AV424" s="120"/>
      <c r="AW424" s="120"/>
      <c r="AX424" s="120"/>
      <c r="AY424" s="120"/>
      <c r="AZ424" s="120"/>
      <c r="BA424" s="120"/>
      <c r="BB424" s="120"/>
      <c r="BC424" s="120"/>
      <c r="BD424" s="120"/>
      <c r="BE424" s="120"/>
      <c r="BF424" s="120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20"/>
      <c r="BS424" s="120"/>
      <c r="BT424" s="120"/>
      <c r="BU424" s="120"/>
    </row>
    <row r="425" spans="15:73"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20"/>
      <c r="AV425" s="120"/>
      <c r="AW425" s="120"/>
      <c r="AX425" s="120"/>
      <c r="AY425" s="120"/>
      <c r="AZ425" s="120"/>
      <c r="BA425" s="120"/>
      <c r="BB425" s="120"/>
      <c r="BC425" s="120"/>
      <c r="BD425" s="120"/>
      <c r="BE425" s="120"/>
      <c r="BF425" s="120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20"/>
      <c r="BS425" s="120"/>
      <c r="BT425" s="120"/>
      <c r="BU425" s="120"/>
    </row>
    <row r="426" spans="15:73"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20"/>
      <c r="AV426" s="120"/>
      <c r="AW426" s="120"/>
      <c r="AX426" s="120"/>
      <c r="AY426" s="120"/>
      <c r="AZ426" s="120"/>
      <c r="BA426" s="120"/>
      <c r="BB426" s="120"/>
      <c r="BC426" s="120"/>
      <c r="BD426" s="120"/>
      <c r="BE426" s="120"/>
      <c r="BF426" s="120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20"/>
      <c r="BS426" s="120"/>
      <c r="BT426" s="120"/>
      <c r="BU426" s="120"/>
    </row>
    <row r="427" spans="15:73"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20"/>
      <c r="AV427" s="120"/>
      <c r="AW427" s="120"/>
      <c r="AX427" s="120"/>
      <c r="AY427" s="120"/>
      <c r="AZ427" s="120"/>
      <c r="BA427" s="120"/>
      <c r="BB427" s="120"/>
      <c r="BC427" s="120"/>
      <c r="BD427" s="120"/>
      <c r="BE427" s="120"/>
      <c r="BF427" s="120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20"/>
      <c r="BS427" s="120"/>
      <c r="BT427" s="120"/>
      <c r="BU427" s="120"/>
    </row>
    <row r="428" spans="15:73"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20"/>
      <c r="AV428" s="120"/>
      <c r="AW428" s="120"/>
      <c r="AX428" s="120"/>
      <c r="AY428" s="120"/>
      <c r="AZ428" s="120"/>
      <c r="BA428" s="120"/>
      <c r="BB428" s="120"/>
      <c r="BC428" s="120"/>
      <c r="BD428" s="120"/>
      <c r="BE428" s="120"/>
      <c r="BF428" s="120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20"/>
      <c r="BS428" s="120"/>
      <c r="BT428" s="120"/>
      <c r="BU428" s="120"/>
    </row>
    <row r="429" spans="15:73"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20"/>
      <c r="AV429" s="120"/>
      <c r="AW429" s="120"/>
      <c r="AX429" s="120"/>
      <c r="AY429" s="120"/>
      <c r="AZ429" s="120"/>
      <c r="BA429" s="120"/>
      <c r="BB429" s="120"/>
      <c r="BC429" s="120"/>
      <c r="BD429" s="120"/>
      <c r="BE429" s="120"/>
      <c r="BF429" s="120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20"/>
      <c r="BS429" s="120"/>
      <c r="BT429" s="120"/>
      <c r="BU429" s="120"/>
    </row>
    <row r="430" spans="15:73"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20"/>
      <c r="AV430" s="120"/>
      <c r="AW430" s="120"/>
      <c r="AX430" s="120"/>
      <c r="AY430" s="120"/>
      <c r="AZ430" s="120"/>
      <c r="BA430" s="120"/>
      <c r="BB430" s="120"/>
      <c r="BC430" s="120"/>
      <c r="BD430" s="120"/>
      <c r="BE430" s="120"/>
      <c r="BF430" s="120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20"/>
      <c r="BS430" s="120"/>
      <c r="BT430" s="120"/>
      <c r="BU430" s="120"/>
    </row>
    <row r="431" spans="15:73"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20"/>
      <c r="AV431" s="120"/>
      <c r="AW431" s="120"/>
      <c r="AX431" s="120"/>
      <c r="AY431" s="120"/>
      <c r="AZ431" s="120"/>
      <c r="BA431" s="120"/>
      <c r="BB431" s="120"/>
      <c r="BC431" s="120"/>
      <c r="BD431" s="120"/>
      <c r="BE431" s="120"/>
      <c r="BF431" s="120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20"/>
      <c r="BS431" s="120"/>
      <c r="BT431" s="120"/>
      <c r="BU431" s="120"/>
    </row>
    <row r="432" spans="15:73"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20"/>
      <c r="AV432" s="120"/>
      <c r="AW432" s="120"/>
      <c r="AX432" s="120"/>
      <c r="AY432" s="120"/>
      <c r="AZ432" s="120"/>
      <c r="BA432" s="120"/>
      <c r="BB432" s="120"/>
      <c r="BC432" s="120"/>
      <c r="BD432" s="120"/>
      <c r="BE432" s="120"/>
      <c r="BF432" s="120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20"/>
      <c r="BS432" s="120"/>
      <c r="BT432" s="120"/>
      <c r="BU432" s="120"/>
    </row>
    <row r="433" spans="15:73"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20"/>
      <c r="AV433" s="120"/>
      <c r="AW433" s="120"/>
      <c r="AX433" s="120"/>
      <c r="AY433" s="120"/>
      <c r="AZ433" s="120"/>
      <c r="BA433" s="120"/>
      <c r="BB433" s="120"/>
      <c r="BC433" s="120"/>
      <c r="BD433" s="120"/>
      <c r="BE433" s="120"/>
      <c r="BF433" s="120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20"/>
      <c r="BS433" s="120"/>
      <c r="BT433" s="120"/>
      <c r="BU433" s="120"/>
    </row>
    <row r="434" spans="15:73"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20"/>
      <c r="AV434" s="120"/>
      <c r="AW434" s="120"/>
      <c r="AX434" s="120"/>
      <c r="AY434" s="120"/>
      <c r="AZ434" s="120"/>
      <c r="BA434" s="120"/>
      <c r="BB434" s="120"/>
      <c r="BC434" s="120"/>
      <c r="BD434" s="120"/>
      <c r="BE434" s="120"/>
      <c r="BF434" s="120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20"/>
      <c r="BS434" s="120"/>
      <c r="BT434" s="120"/>
      <c r="BU434" s="120"/>
    </row>
    <row r="435" spans="15:73"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20"/>
      <c r="AV435" s="120"/>
      <c r="AW435" s="120"/>
      <c r="AX435" s="120"/>
      <c r="AY435" s="120"/>
      <c r="AZ435" s="120"/>
      <c r="BA435" s="120"/>
      <c r="BB435" s="120"/>
      <c r="BC435" s="120"/>
      <c r="BD435" s="120"/>
      <c r="BE435" s="120"/>
      <c r="BF435" s="120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20"/>
      <c r="BS435" s="120"/>
      <c r="BT435" s="120"/>
      <c r="BU435" s="120"/>
    </row>
    <row r="436" spans="15:73"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20"/>
      <c r="AV436" s="120"/>
      <c r="AW436" s="120"/>
      <c r="AX436" s="120"/>
      <c r="AY436" s="120"/>
      <c r="AZ436" s="120"/>
      <c r="BA436" s="120"/>
      <c r="BB436" s="120"/>
      <c r="BC436" s="120"/>
      <c r="BD436" s="120"/>
      <c r="BE436" s="120"/>
      <c r="BF436" s="120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20"/>
      <c r="BS436" s="120"/>
      <c r="BT436" s="120"/>
      <c r="BU436" s="120"/>
    </row>
    <row r="437" spans="15:73"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20"/>
      <c r="AM437" s="120"/>
      <c r="AN437" s="120"/>
      <c r="AO437" s="120"/>
      <c r="AP437" s="120"/>
      <c r="AQ437" s="120"/>
      <c r="AR437" s="120"/>
      <c r="AS437" s="120"/>
      <c r="AT437" s="120"/>
      <c r="AU437" s="120"/>
      <c r="AV437" s="120"/>
      <c r="AW437" s="120"/>
      <c r="AX437" s="120"/>
      <c r="AY437" s="120"/>
      <c r="AZ437" s="120"/>
      <c r="BA437" s="120"/>
      <c r="BB437" s="120"/>
      <c r="BC437" s="120"/>
      <c r="BD437" s="120"/>
      <c r="BE437" s="120"/>
      <c r="BF437" s="120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20"/>
      <c r="BS437" s="120"/>
      <c r="BT437" s="120"/>
      <c r="BU437" s="120"/>
    </row>
    <row r="438" spans="15:73"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20"/>
      <c r="AV438" s="120"/>
      <c r="AW438" s="120"/>
      <c r="AX438" s="120"/>
      <c r="AY438" s="120"/>
      <c r="AZ438" s="120"/>
      <c r="BA438" s="120"/>
      <c r="BB438" s="120"/>
      <c r="BC438" s="120"/>
      <c r="BD438" s="120"/>
      <c r="BE438" s="120"/>
      <c r="BF438" s="120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20"/>
      <c r="BS438" s="120"/>
      <c r="BT438" s="120"/>
      <c r="BU438" s="120"/>
    </row>
    <row r="439" spans="15:73"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20"/>
      <c r="AV439" s="120"/>
      <c r="AW439" s="120"/>
      <c r="AX439" s="120"/>
      <c r="AY439" s="120"/>
      <c r="AZ439" s="120"/>
      <c r="BA439" s="120"/>
      <c r="BB439" s="120"/>
      <c r="BC439" s="120"/>
      <c r="BD439" s="120"/>
      <c r="BE439" s="120"/>
      <c r="BF439" s="120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20"/>
      <c r="BS439" s="120"/>
      <c r="BT439" s="120"/>
      <c r="BU439" s="120"/>
    </row>
    <row r="440" spans="15:73"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20"/>
      <c r="AV440" s="120"/>
      <c r="AW440" s="120"/>
      <c r="AX440" s="120"/>
      <c r="AY440" s="120"/>
      <c r="AZ440" s="120"/>
      <c r="BA440" s="120"/>
      <c r="BB440" s="120"/>
      <c r="BC440" s="120"/>
      <c r="BD440" s="120"/>
      <c r="BE440" s="120"/>
      <c r="BF440" s="120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20"/>
      <c r="BS440" s="120"/>
      <c r="BT440" s="120"/>
      <c r="BU440" s="120"/>
    </row>
    <row r="441" spans="15:73"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20"/>
      <c r="AV441" s="120"/>
      <c r="AW441" s="120"/>
      <c r="AX441" s="120"/>
      <c r="AY441" s="120"/>
      <c r="AZ441" s="120"/>
      <c r="BA441" s="120"/>
      <c r="BB441" s="120"/>
      <c r="BC441" s="120"/>
      <c r="BD441" s="120"/>
      <c r="BE441" s="120"/>
      <c r="BF441" s="120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20"/>
      <c r="BS441" s="120"/>
      <c r="BT441" s="120"/>
      <c r="BU441" s="120"/>
    </row>
    <row r="442" spans="15:73"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20"/>
      <c r="AV442" s="120"/>
      <c r="AW442" s="120"/>
      <c r="AX442" s="120"/>
      <c r="AY442" s="120"/>
      <c r="AZ442" s="120"/>
      <c r="BA442" s="120"/>
      <c r="BB442" s="120"/>
      <c r="BC442" s="120"/>
      <c r="BD442" s="120"/>
      <c r="BE442" s="120"/>
      <c r="BF442" s="120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20"/>
      <c r="BS442" s="120"/>
      <c r="BT442" s="120"/>
      <c r="BU442" s="120"/>
    </row>
    <row r="443" spans="15:73"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20"/>
      <c r="AV443" s="120"/>
      <c r="AW443" s="120"/>
      <c r="AX443" s="120"/>
      <c r="AY443" s="120"/>
      <c r="AZ443" s="120"/>
      <c r="BA443" s="120"/>
      <c r="BB443" s="120"/>
      <c r="BC443" s="120"/>
      <c r="BD443" s="120"/>
      <c r="BE443" s="120"/>
      <c r="BF443" s="120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20"/>
      <c r="BS443" s="120"/>
      <c r="BT443" s="120"/>
      <c r="BU443" s="120"/>
    </row>
    <row r="444" spans="15:73"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20"/>
      <c r="AV444" s="120"/>
      <c r="AW444" s="120"/>
      <c r="AX444" s="120"/>
      <c r="AY444" s="120"/>
      <c r="AZ444" s="120"/>
      <c r="BA444" s="120"/>
      <c r="BB444" s="120"/>
      <c r="BC444" s="120"/>
      <c r="BD444" s="120"/>
      <c r="BE444" s="120"/>
      <c r="BF444" s="120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20"/>
      <c r="BS444" s="120"/>
      <c r="BT444" s="120"/>
      <c r="BU444" s="120"/>
    </row>
    <row r="445" spans="15:73"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20"/>
      <c r="AV445" s="120"/>
      <c r="AW445" s="120"/>
      <c r="AX445" s="120"/>
      <c r="AY445" s="120"/>
      <c r="AZ445" s="120"/>
      <c r="BA445" s="120"/>
      <c r="BB445" s="120"/>
      <c r="BC445" s="120"/>
      <c r="BD445" s="120"/>
      <c r="BE445" s="120"/>
      <c r="BF445" s="120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20"/>
      <c r="BS445" s="120"/>
      <c r="BT445" s="120"/>
      <c r="BU445" s="120"/>
    </row>
    <row r="446" spans="15:73"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20"/>
      <c r="AV446" s="120"/>
      <c r="AW446" s="120"/>
      <c r="AX446" s="120"/>
      <c r="AY446" s="120"/>
      <c r="AZ446" s="120"/>
      <c r="BA446" s="120"/>
      <c r="BB446" s="120"/>
      <c r="BC446" s="120"/>
      <c r="BD446" s="120"/>
      <c r="BE446" s="120"/>
      <c r="BF446" s="120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20"/>
      <c r="BS446" s="120"/>
      <c r="BT446" s="120"/>
      <c r="BU446" s="120"/>
    </row>
    <row r="447" spans="15:73"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20"/>
      <c r="AV447" s="120"/>
      <c r="AW447" s="120"/>
      <c r="AX447" s="120"/>
      <c r="AY447" s="120"/>
      <c r="AZ447" s="120"/>
      <c r="BA447" s="120"/>
      <c r="BB447" s="120"/>
      <c r="BC447" s="120"/>
      <c r="BD447" s="120"/>
      <c r="BE447" s="120"/>
      <c r="BF447" s="120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20"/>
      <c r="BS447" s="120"/>
      <c r="BT447" s="120"/>
      <c r="BU447" s="120"/>
    </row>
    <row r="448" spans="15:73"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20"/>
      <c r="AV448" s="120"/>
      <c r="AW448" s="120"/>
      <c r="AX448" s="120"/>
      <c r="AY448" s="120"/>
      <c r="AZ448" s="120"/>
      <c r="BA448" s="120"/>
      <c r="BB448" s="120"/>
      <c r="BC448" s="120"/>
      <c r="BD448" s="120"/>
      <c r="BE448" s="120"/>
      <c r="BF448" s="120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20"/>
      <c r="BS448" s="120"/>
      <c r="BT448" s="120"/>
      <c r="BU448" s="120"/>
    </row>
    <row r="449" spans="15:73"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20"/>
      <c r="AV449" s="120"/>
      <c r="AW449" s="120"/>
      <c r="AX449" s="120"/>
      <c r="AY449" s="120"/>
      <c r="AZ449" s="120"/>
      <c r="BA449" s="120"/>
      <c r="BB449" s="120"/>
      <c r="BC449" s="120"/>
      <c r="BD449" s="120"/>
      <c r="BE449" s="120"/>
      <c r="BF449" s="120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20"/>
      <c r="BS449" s="120"/>
      <c r="BT449" s="120"/>
      <c r="BU449" s="120"/>
    </row>
    <row r="450" spans="15:73"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20"/>
      <c r="AV450" s="120"/>
      <c r="AW450" s="120"/>
      <c r="AX450" s="120"/>
      <c r="AY450" s="120"/>
      <c r="AZ450" s="120"/>
      <c r="BA450" s="120"/>
      <c r="BB450" s="120"/>
      <c r="BC450" s="120"/>
      <c r="BD450" s="120"/>
      <c r="BE450" s="120"/>
      <c r="BF450" s="120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20"/>
      <c r="BS450" s="120"/>
      <c r="BT450" s="120"/>
      <c r="BU450" s="120"/>
    </row>
    <row r="451" spans="15:73"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20"/>
      <c r="AM451" s="120"/>
      <c r="AN451" s="120"/>
      <c r="AO451" s="120"/>
      <c r="AP451" s="120"/>
      <c r="AQ451" s="120"/>
      <c r="AR451" s="120"/>
      <c r="AS451" s="120"/>
      <c r="AT451" s="120"/>
      <c r="AU451" s="120"/>
      <c r="AV451" s="120"/>
      <c r="AW451" s="120"/>
      <c r="AX451" s="120"/>
      <c r="AY451" s="120"/>
      <c r="AZ451" s="120"/>
      <c r="BA451" s="120"/>
      <c r="BB451" s="120"/>
      <c r="BC451" s="120"/>
      <c r="BD451" s="120"/>
      <c r="BE451" s="120"/>
      <c r="BF451" s="120"/>
      <c r="BG451" s="120"/>
      <c r="BH451" s="120"/>
      <c r="BI451" s="120"/>
      <c r="BJ451" s="120"/>
      <c r="BK451" s="120"/>
      <c r="BL451" s="120"/>
      <c r="BM451" s="120"/>
      <c r="BN451" s="120"/>
      <c r="BO451" s="120"/>
      <c r="BP451" s="120"/>
      <c r="BQ451" s="120"/>
      <c r="BR451" s="120"/>
      <c r="BS451" s="120"/>
      <c r="BT451" s="120"/>
      <c r="BU451" s="120"/>
    </row>
    <row r="452" spans="15:73"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20"/>
      <c r="AV452" s="120"/>
      <c r="AW452" s="120"/>
      <c r="AX452" s="120"/>
      <c r="AY452" s="120"/>
      <c r="AZ452" s="120"/>
      <c r="BA452" s="120"/>
      <c r="BB452" s="120"/>
      <c r="BC452" s="120"/>
      <c r="BD452" s="120"/>
      <c r="BE452" s="120"/>
      <c r="BF452" s="120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20"/>
      <c r="BS452" s="120"/>
      <c r="BT452" s="120"/>
      <c r="BU452" s="120"/>
    </row>
    <row r="453" spans="15:73"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20"/>
      <c r="AV453" s="120"/>
      <c r="AW453" s="120"/>
      <c r="AX453" s="120"/>
      <c r="AY453" s="120"/>
      <c r="AZ453" s="120"/>
      <c r="BA453" s="120"/>
      <c r="BB453" s="120"/>
      <c r="BC453" s="120"/>
      <c r="BD453" s="120"/>
      <c r="BE453" s="120"/>
      <c r="BF453" s="120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20"/>
      <c r="BS453" s="120"/>
      <c r="BT453" s="120"/>
      <c r="BU453" s="120"/>
    </row>
    <row r="454" spans="15:73"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20"/>
      <c r="AV454" s="120"/>
      <c r="AW454" s="120"/>
      <c r="AX454" s="120"/>
      <c r="AY454" s="120"/>
      <c r="AZ454" s="120"/>
      <c r="BA454" s="120"/>
      <c r="BB454" s="120"/>
      <c r="BC454" s="120"/>
      <c r="BD454" s="120"/>
      <c r="BE454" s="120"/>
      <c r="BF454" s="120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20"/>
      <c r="BS454" s="120"/>
      <c r="BT454" s="120"/>
      <c r="BU454" s="120"/>
    </row>
    <row r="455" spans="15:73"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20"/>
      <c r="AV455" s="120"/>
      <c r="AW455" s="120"/>
      <c r="AX455" s="120"/>
      <c r="AY455" s="120"/>
      <c r="AZ455" s="120"/>
      <c r="BA455" s="120"/>
      <c r="BB455" s="120"/>
      <c r="BC455" s="120"/>
      <c r="BD455" s="120"/>
      <c r="BE455" s="120"/>
      <c r="BF455" s="120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20"/>
      <c r="BS455" s="120"/>
      <c r="BT455" s="120"/>
      <c r="BU455" s="120"/>
    </row>
    <row r="456" spans="15:73"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20"/>
      <c r="AV456" s="120"/>
      <c r="AW456" s="120"/>
      <c r="AX456" s="120"/>
      <c r="AY456" s="120"/>
      <c r="AZ456" s="120"/>
      <c r="BA456" s="120"/>
      <c r="BB456" s="120"/>
      <c r="BC456" s="120"/>
      <c r="BD456" s="120"/>
      <c r="BE456" s="120"/>
      <c r="BF456" s="120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20"/>
      <c r="BS456" s="120"/>
      <c r="BT456" s="120"/>
      <c r="BU456" s="120"/>
    </row>
    <row r="457" spans="15:73"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20"/>
      <c r="AV457" s="120"/>
      <c r="AW457" s="120"/>
      <c r="AX457" s="120"/>
      <c r="AY457" s="120"/>
      <c r="AZ457" s="120"/>
      <c r="BA457" s="120"/>
      <c r="BB457" s="120"/>
      <c r="BC457" s="120"/>
      <c r="BD457" s="120"/>
      <c r="BE457" s="120"/>
      <c r="BF457" s="120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20"/>
      <c r="BS457" s="120"/>
      <c r="BT457" s="120"/>
      <c r="BU457" s="120"/>
    </row>
    <row r="458" spans="15:73"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20"/>
      <c r="AV458" s="120"/>
      <c r="AW458" s="120"/>
      <c r="AX458" s="120"/>
      <c r="AY458" s="120"/>
      <c r="AZ458" s="120"/>
      <c r="BA458" s="120"/>
      <c r="BB458" s="120"/>
      <c r="BC458" s="120"/>
      <c r="BD458" s="120"/>
      <c r="BE458" s="120"/>
      <c r="BF458" s="120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20"/>
      <c r="BS458" s="120"/>
      <c r="BT458" s="120"/>
      <c r="BU458" s="120"/>
    </row>
    <row r="459" spans="15:73"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20"/>
      <c r="AV459" s="120"/>
      <c r="AW459" s="120"/>
      <c r="AX459" s="120"/>
      <c r="AY459" s="120"/>
      <c r="AZ459" s="120"/>
      <c r="BA459" s="120"/>
      <c r="BB459" s="120"/>
      <c r="BC459" s="120"/>
      <c r="BD459" s="120"/>
      <c r="BE459" s="120"/>
      <c r="BF459" s="120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20"/>
      <c r="BS459" s="120"/>
      <c r="BT459" s="120"/>
      <c r="BU459" s="120"/>
    </row>
    <row r="460" spans="15:73"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20"/>
      <c r="AV460" s="120"/>
      <c r="AW460" s="120"/>
      <c r="AX460" s="120"/>
      <c r="AY460" s="120"/>
      <c r="AZ460" s="120"/>
      <c r="BA460" s="120"/>
      <c r="BB460" s="120"/>
      <c r="BC460" s="120"/>
      <c r="BD460" s="120"/>
      <c r="BE460" s="120"/>
      <c r="BF460" s="120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20"/>
      <c r="BS460" s="120"/>
      <c r="BT460" s="120"/>
      <c r="BU460" s="120"/>
    </row>
    <row r="461" spans="15:73"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20"/>
      <c r="AV461" s="120"/>
      <c r="AW461" s="120"/>
      <c r="AX461" s="120"/>
      <c r="AY461" s="120"/>
      <c r="AZ461" s="120"/>
      <c r="BA461" s="120"/>
      <c r="BB461" s="120"/>
      <c r="BC461" s="120"/>
      <c r="BD461" s="120"/>
      <c r="BE461" s="120"/>
      <c r="BF461" s="120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20"/>
      <c r="BS461" s="120"/>
      <c r="BT461" s="120"/>
      <c r="BU461" s="120"/>
    </row>
    <row r="462" spans="15:73"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20"/>
      <c r="AV462" s="120"/>
      <c r="AW462" s="120"/>
      <c r="AX462" s="120"/>
      <c r="AY462" s="120"/>
      <c r="AZ462" s="120"/>
      <c r="BA462" s="120"/>
      <c r="BB462" s="120"/>
      <c r="BC462" s="120"/>
      <c r="BD462" s="120"/>
      <c r="BE462" s="120"/>
      <c r="BF462" s="120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20"/>
      <c r="BS462" s="120"/>
      <c r="BT462" s="120"/>
      <c r="BU462" s="120"/>
    </row>
    <row r="463" spans="15:73"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20"/>
      <c r="AV463" s="120"/>
      <c r="AW463" s="120"/>
      <c r="AX463" s="120"/>
      <c r="AY463" s="120"/>
      <c r="AZ463" s="120"/>
      <c r="BA463" s="120"/>
      <c r="BB463" s="120"/>
      <c r="BC463" s="120"/>
      <c r="BD463" s="120"/>
      <c r="BE463" s="120"/>
      <c r="BF463" s="120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20"/>
      <c r="BS463" s="120"/>
      <c r="BT463" s="120"/>
      <c r="BU463" s="120"/>
    </row>
    <row r="464" spans="15:73"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20"/>
      <c r="AV464" s="120"/>
      <c r="AW464" s="120"/>
      <c r="AX464" s="120"/>
      <c r="AY464" s="120"/>
      <c r="AZ464" s="120"/>
      <c r="BA464" s="120"/>
      <c r="BB464" s="120"/>
      <c r="BC464" s="120"/>
      <c r="BD464" s="120"/>
      <c r="BE464" s="120"/>
      <c r="BF464" s="120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20"/>
      <c r="BS464" s="120"/>
      <c r="BT464" s="120"/>
      <c r="BU464" s="120"/>
    </row>
    <row r="465" spans="15:73"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20"/>
      <c r="AV465" s="120"/>
      <c r="AW465" s="120"/>
      <c r="AX465" s="120"/>
      <c r="AY465" s="120"/>
      <c r="AZ465" s="120"/>
      <c r="BA465" s="120"/>
      <c r="BB465" s="120"/>
      <c r="BC465" s="120"/>
      <c r="BD465" s="120"/>
      <c r="BE465" s="120"/>
      <c r="BF465" s="120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20"/>
      <c r="BS465" s="120"/>
      <c r="BT465" s="120"/>
      <c r="BU465" s="120"/>
    </row>
    <row r="466" spans="15:73">
      <c r="O466" s="120"/>
      <c r="P466" s="120"/>
      <c r="Q466" s="120"/>
      <c r="R466" s="120"/>
      <c r="S466" s="120"/>
      <c r="T466" s="120"/>
      <c r="U466" s="120"/>
      <c r="V466" s="120"/>
      <c r="W466" s="120"/>
      <c r="X466" s="120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20"/>
      <c r="AM466" s="120"/>
      <c r="AN466" s="120"/>
      <c r="AO466" s="120"/>
      <c r="AP466" s="120"/>
      <c r="AQ466" s="120"/>
      <c r="AR466" s="120"/>
      <c r="AS466" s="120"/>
      <c r="AT466" s="120"/>
      <c r="AU466" s="120"/>
      <c r="AV466" s="120"/>
      <c r="AW466" s="120"/>
      <c r="AX466" s="120"/>
      <c r="AY466" s="120"/>
      <c r="AZ466" s="120"/>
      <c r="BA466" s="120"/>
      <c r="BB466" s="120"/>
      <c r="BC466" s="120"/>
      <c r="BD466" s="120"/>
      <c r="BE466" s="120"/>
      <c r="BF466" s="120"/>
      <c r="BG466" s="120"/>
      <c r="BH466" s="120"/>
      <c r="BI466" s="120"/>
      <c r="BJ466" s="120"/>
      <c r="BK466" s="120"/>
      <c r="BL466" s="120"/>
      <c r="BM466" s="120"/>
      <c r="BN466" s="120"/>
      <c r="BO466" s="120"/>
      <c r="BP466" s="120"/>
      <c r="BQ466" s="120"/>
      <c r="BR466" s="120"/>
      <c r="BS466" s="120"/>
      <c r="BT466" s="120"/>
      <c r="BU466" s="120"/>
    </row>
    <row r="467" spans="15:73"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20"/>
      <c r="AV467" s="120"/>
      <c r="AW467" s="120"/>
      <c r="AX467" s="120"/>
      <c r="AY467" s="120"/>
      <c r="AZ467" s="120"/>
      <c r="BA467" s="120"/>
      <c r="BB467" s="120"/>
      <c r="BC467" s="120"/>
      <c r="BD467" s="120"/>
      <c r="BE467" s="120"/>
      <c r="BF467" s="120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20"/>
      <c r="BS467" s="120"/>
      <c r="BT467" s="120"/>
      <c r="BU467" s="120"/>
    </row>
    <row r="468" spans="15:73"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20"/>
      <c r="AV468" s="120"/>
      <c r="AW468" s="120"/>
      <c r="AX468" s="120"/>
      <c r="AY468" s="120"/>
      <c r="AZ468" s="120"/>
      <c r="BA468" s="120"/>
      <c r="BB468" s="120"/>
      <c r="BC468" s="120"/>
      <c r="BD468" s="120"/>
      <c r="BE468" s="120"/>
      <c r="BF468" s="120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20"/>
      <c r="BS468" s="120"/>
      <c r="BT468" s="120"/>
      <c r="BU468" s="120"/>
    </row>
    <row r="469" spans="15:73"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20"/>
      <c r="AV469" s="120"/>
      <c r="AW469" s="120"/>
      <c r="AX469" s="120"/>
      <c r="AY469" s="120"/>
      <c r="AZ469" s="120"/>
      <c r="BA469" s="120"/>
      <c r="BB469" s="120"/>
      <c r="BC469" s="120"/>
      <c r="BD469" s="120"/>
      <c r="BE469" s="120"/>
      <c r="BF469" s="120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20"/>
      <c r="BS469" s="120"/>
      <c r="BT469" s="120"/>
      <c r="BU469" s="120"/>
    </row>
    <row r="470" spans="15:73"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20"/>
      <c r="AV470" s="120"/>
      <c r="AW470" s="120"/>
      <c r="AX470" s="120"/>
      <c r="AY470" s="120"/>
      <c r="AZ470" s="120"/>
      <c r="BA470" s="120"/>
      <c r="BB470" s="120"/>
      <c r="BC470" s="120"/>
      <c r="BD470" s="120"/>
      <c r="BE470" s="120"/>
      <c r="BF470" s="120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20"/>
      <c r="BS470" s="120"/>
      <c r="BT470" s="120"/>
      <c r="BU470" s="120"/>
    </row>
    <row r="471" spans="15:73"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20"/>
      <c r="AV471" s="120"/>
      <c r="AW471" s="120"/>
      <c r="AX471" s="120"/>
      <c r="AY471" s="120"/>
      <c r="AZ471" s="120"/>
      <c r="BA471" s="120"/>
      <c r="BB471" s="120"/>
      <c r="BC471" s="120"/>
      <c r="BD471" s="120"/>
      <c r="BE471" s="120"/>
      <c r="BF471" s="120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20"/>
      <c r="BS471" s="120"/>
      <c r="BT471" s="120"/>
      <c r="BU471" s="120"/>
    </row>
    <row r="472" spans="15:73"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20"/>
      <c r="AV472" s="120"/>
      <c r="AW472" s="120"/>
      <c r="AX472" s="120"/>
      <c r="AY472" s="120"/>
      <c r="AZ472" s="120"/>
      <c r="BA472" s="120"/>
      <c r="BB472" s="120"/>
      <c r="BC472" s="120"/>
      <c r="BD472" s="120"/>
      <c r="BE472" s="120"/>
      <c r="BF472" s="120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20"/>
      <c r="BS472" s="120"/>
      <c r="BT472" s="120"/>
      <c r="BU472" s="120"/>
    </row>
    <row r="473" spans="15:73"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20"/>
      <c r="AV473" s="120"/>
      <c r="AW473" s="120"/>
      <c r="AX473" s="120"/>
      <c r="AY473" s="120"/>
      <c r="AZ473" s="120"/>
      <c r="BA473" s="120"/>
      <c r="BB473" s="120"/>
      <c r="BC473" s="120"/>
      <c r="BD473" s="120"/>
      <c r="BE473" s="120"/>
      <c r="BF473" s="120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20"/>
      <c r="BS473" s="120"/>
      <c r="BT473" s="120"/>
      <c r="BU473" s="120"/>
    </row>
    <row r="474" spans="15:73"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20"/>
      <c r="AV474" s="120"/>
      <c r="AW474" s="120"/>
      <c r="AX474" s="120"/>
      <c r="AY474" s="120"/>
      <c r="AZ474" s="120"/>
      <c r="BA474" s="120"/>
      <c r="BB474" s="120"/>
      <c r="BC474" s="120"/>
      <c r="BD474" s="120"/>
      <c r="BE474" s="120"/>
      <c r="BF474" s="120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20"/>
      <c r="BS474" s="120"/>
      <c r="BT474" s="120"/>
      <c r="BU474" s="120"/>
    </row>
    <row r="475" spans="15:73"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20"/>
      <c r="AV475" s="120"/>
      <c r="AW475" s="120"/>
      <c r="AX475" s="120"/>
      <c r="AY475" s="120"/>
      <c r="AZ475" s="120"/>
      <c r="BA475" s="120"/>
      <c r="BB475" s="120"/>
      <c r="BC475" s="120"/>
      <c r="BD475" s="120"/>
      <c r="BE475" s="120"/>
      <c r="BF475" s="120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20"/>
      <c r="BS475" s="120"/>
      <c r="BT475" s="120"/>
      <c r="BU475" s="120"/>
    </row>
    <row r="476" spans="15:73"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20"/>
      <c r="AV476" s="120"/>
      <c r="AW476" s="120"/>
      <c r="AX476" s="120"/>
      <c r="AY476" s="120"/>
      <c r="AZ476" s="120"/>
      <c r="BA476" s="120"/>
      <c r="BB476" s="120"/>
      <c r="BC476" s="120"/>
      <c r="BD476" s="120"/>
      <c r="BE476" s="120"/>
      <c r="BF476" s="120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20"/>
      <c r="BS476" s="120"/>
      <c r="BT476" s="120"/>
      <c r="BU476" s="120"/>
    </row>
    <row r="477" spans="15:73">
      <c r="O477" s="120"/>
      <c r="P477" s="120"/>
      <c r="Q477" s="120"/>
      <c r="R477" s="120"/>
      <c r="S477" s="120"/>
      <c r="T477" s="120"/>
      <c r="U477" s="120"/>
      <c r="V477" s="120"/>
      <c r="W477" s="120"/>
      <c r="X477" s="120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20"/>
      <c r="AM477" s="120"/>
      <c r="AN477" s="120"/>
      <c r="AO477" s="120"/>
      <c r="AP477" s="120"/>
      <c r="AQ477" s="120"/>
      <c r="AR477" s="120"/>
      <c r="AS477" s="120"/>
      <c r="AT477" s="120"/>
      <c r="AU477" s="120"/>
      <c r="AV477" s="120"/>
      <c r="AW477" s="120"/>
      <c r="AX477" s="120"/>
      <c r="AY477" s="120"/>
      <c r="AZ477" s="120"/>
      <c r="BA477" s="120"/>
      <c r="BB477" s="120"/>
      <c r="BC477" s="120"/>
      <c r="BD477" s="120"/>
      <c r="BE477" s="120"/>
      <c r="BF477" s="120"/>
      <c r="BG477" s="120"/>
      <c r="BH477" s="120"/>
      <c r="BI477" s="120"/>
      <c r="BJ477" s="120"/>
      <c r="BK477" s="120"/>
      <c r="BL477" s="120"/>
      <c r="BM477" s="120"/>
      <c r="BN477" s="120"/>
      <c r="BO477" s="120"/>
      <c r="BP477" s="120"/>
      <c r="BQ477" s="120"/>
      <c r="BR477" s="120"/>
      <c r="BS477" s="120"/>
      <c r="BT477" s="120"/>
      <c r="BU477" s="120"/>
    </row>
    <row r="478" spans="15:73"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20"/>
      <c r="AV478" s="120"/>
      <c r="AW478" s="120"/>
      <c r="AX478" s="120"/>
      <c r="AY478" s="120"/>
      <c r="AZ478" s="120"/>
      <c r="BA478" s="120"/>
      <c r="BB478" s="120"/>
      <c r="BC478" s="120"/>
      <c r="BD478" s="120"/>
      <c r="BE478" s="120"/>
      <c r="BF478" s="120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20"/>
      <c r="BS478" s="120"/>
      <c r="BT478" s="120"/>
      <c r="BU478" s="120"/>
    </row>
    <row r="479" spans="15:73"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20"/>
      <c r="AV479" s="120"/>
      <c r="AW479" s="120"/>
      <c r="AX479" s="120"/>
      <c r="AY479" s="120"/>
      <c r="AZ479" s="120"/>
      <c r="BA479" s="120"/>
      <c r="BB479" s="120"/>
      <c r="BC479" s="120"/>
      <c r="BD479" s="120"/>
      <c r="BE479" s="120"/>
      <c r="BF479" s="120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20"/>
      <c r="BS479" s="120"/>
      <c r="BT479" s="120"/>
      <c r="BU479" s="120"/>
    </row>
    <row r="480" spans="15:73">
      <c r="O480" s="120"/>
      <c r="P480" s="120"/>
      <c r="Q480" s="120"/>
      <c r="R480" s="120"/>
      <c r="S480" s="120"/>
      <c r="T480" s="120"/>
      <c r="U480" s="120"/>
      <c r="V480" s="120"/>
      <c r="W480" s="120"/>
      <c r="X480" s="120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20"/>
      <c r="AM480" s="120"/>
      <c r="AN480" s="120"/>
      <c r="AO480" s="120"/>
      <c r="AP480" s="120"/>
      <c r="AQ480" s="120"/>
      <c r="AR480" s="120"/>
      <c r="AS480" s="120"/>
      <c r="AT480" s="120"/>
      <c r="AU480" s="120"/>
      <c r="AV480" s="120"/>
      <c r="AW480" s="120"/>
      <c r="AX480" s="120"/>
      <c r="AY480" s="120"/>
      <c r="AZ480" s="120"/>
      <c r="BA480" s="120"/>
      <c r="BB480" s="120"/>
      <c r="BC480" s="120"/>
      <c r="BD480" s="120"/>
      <c r="BE480" s="120"/>
      <c r="BF480" s="120"/>
      <c r="BG480" s="120"/>
      <c r="BH480" s="120"/>
      <c r="BI480" s="120"/>
      <c r="BJ480" s="120"/>
      <c r="BK480" s="120"/>
      <c r="BL480" s="120"/>
      <c r="BM480" s="120"/>
      <c r="BN480" s="120"/>
      <c r="BO480" s="120"/>
      <c r="BP480" s="120"/>
      <c r="BQ480" s="120"/>
      <c r="BR480" s="120"/>
      <c r="BS480" s="120"/>
      <c r="BT480" s="120"/>
      <c r="BU480" s="120"/>
    </row>
    <row r="481" spans="15:73"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20"/>
      <c r="AV481" s="120"/>
      <c r="AW481" s="120"/>
      <c r="AX481" s="120"/>
      <c r="AY481" s="120"/>
      <c r="AZ481" s="120"/>
      <c r="BA481" s="120"/>
      <c r="BB481" s="120"/>
      <c r="BC481" s="120"/>
      <c r="BD481" s="120"/>
      <c r="BE481" s="120"/>
      <c r="BF481" s="120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20"/>
      <c r="BS481" s="120"/>
      <c r="BT481" s="120"/>
      <c r="BU481" s="120"/>
    </row>
    <row r="482" spans="15:73"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20"/>
      <c r="AV482" s="120"/>
      <c r="AW482" s="120"/>
      <c r="AX482" s="120"/>
      <c r="AY482" s="120"/>
      <c r="AZ482" s="120"/>
      <c r="BA482" s="120"/>
      <c r="BB482" s="120"/>
      <c r="BC482" s="120"/>
      <c r="BD482" s="120"/>
      <c r="BE482" s="120"/>
      <c r="BF482" s="120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20"/>
      <c r="BS482" s="120"/>
      <c r="BT482" s="120"/>
      <c r="BU482" s="120"/>
    </row>
    <row r="483" spans="15:73"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20"/>
      <c r="AV483" s="120"/>
      <c r="AW483" s="120"/>
      <c r="AX483" s="120"/>
      <c r="AY483" s="120"/>
      <c r="AZ483" s="120"/>
      <c r="BA483" s="120"/>
      <c r="BB483" s="120"/>
      <c r="BC483" s="120"/>
      <c r="BD483" s="120"/>
      <c r="BE483" s="120"/>
      <c r="BF483" s="120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20"/>
      <c r="BS483" s="120"/>
      <c r="BT483" s="120"/>
      <c r="BU483" s="120"/>
    </row>
    <row r="484" spans="15:73"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20"/>
      <c r="AV484" s="120"/>
      <c r="AW484" s="120"/>
      <c r="AX484" s="120"/>
      <c r="AY484" s="120"/>
      <c r="AZ484" s="120"/>
      <c r="BA484" s="120"/>
      <c r="BB484" s="120"/>
      <c r="BC484" s="120"/>
      <c r="BD484" s="120"/>
      <c r="BE484" s="120"/>
      <c r="BF484" s="120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20"/>
      <c r="BS484" s="120"/>
      <c r="BT484" s="120"/>
      <c r="BU484" s="120"/>
    </row>
    <row r="485" spans="15:73"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20"/>
      <c r="AV485" s="120"/>
      <c r="AW485" s="120"/>
      <c r="AX485" s="120"/>
      <c r="AY485" s="120"/>
      <c r="AZ485" s="120"/>
      <c r="BA485" s="120"/>
      <c r="BB485" s="120"/>
      <c r="BC485" s="120"/>
      <c r="BD485" s="120"/>
      <c r="BE485" s="120"/>
      <c r="BF485" s="120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20"/>
      <c r="BS485" s="120"/>
      <c r="BT485" s="120"/>
      <c r="BU485" s="120"/>
    </row>
    <row r="486" spans="15:73"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20"/>
      <c r="AV486" s="120"/>
      <c r="AW486" s="120"/>
      <c r="AX486" s="120"/>
      <c r="AY486" s="120"/>
      <c r="AZ486" s="120"/>
      <c r="BA486" s="120"/>
      <c r="BB486" s="120"/>
      <c r="BC486" s="120"/>
      <c r="BD486" s="120"/>
      <c r="BE486" s="120"/>
      <c r="BF486" s="120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20"/>
      <c r="BS486" s="120"/>
      <c r="BT486" s="120"/>
      <c r="BU486" s="120"/>
    </row>
    <row r="487" spans="15:73"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20"/>
      <c r="AV487" s="120"/>
      <c r="AW487" s="120"/>
      <c r="AX487" s="120"/>
      <c r="AY487" s="120"/>
      <c r="AZ487" s="120"/>
      <c r="BA487" s="120"/>
      <c r="BB487" s="120"/>
      <c r="BC487" s="120"/>
      <c r="BD487" s="120"/>
      <c r="BE487" s="120"/>
      <c r="BF487" s="120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20"/>
      <c r="BS487" s="120"/>
      <c r="BT487" s="120"/>
      <c r="BU487" s="120"/>
    </row>
    <row r="488" spans="15:73"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20"/>
      <c r="AV488" s="120"/>
      <c r="AW488" s="120"/>
      <c r="AX488" s="120"/>
      <c r="AY488" s="120"/>
      <c r="AZ488" s="120"/>
      <c r="BA488" s="120"/>
      <c r="BB488" s="120"/>
      <c r="BC488" s="120"/>
      <c r="BD488" s="120"/>
      <c r="BE488" s="120"/>
      <c r="BF488" s="120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20"/>
      <c r="BS488" s="120"/>
      <c r="BT488" s="120"/>
      <c r="BU488" s="120"/>
    </row>
    <row r="489" spans="15:73"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20"/>
      <c r="AV489" s="120"/>
      <c r="AW489" s="120"/>
      <c r="AX489" s="120"/>
      <c r="AY489" s="120"/>
      <c r="AZ489" s="120"/>
      <c r="BA489" s="120"/>
      <c r="BB489" s="120"/>
      <c r="BC489" s="120"/>
      <c r="BD489" s="120"/>
      <c r="BE489" s="120"/>
      <c r="BF489" s="120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20"/>
      <c r="BS489" s="120"/>
      <c r="BT489" s="120"/>
      <c r="BU489" s="120"/>
    </row>
    <row r="490" spans="15:73"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20"/>
      <c r="AV490" s="120"/>
      <c r="AW490" s="120"/>
      <c r="AX490" s="120"/>
      <c r="AY490" s="120"/>
      <c r="AZ490" s="120"/>
      <c r="BA490" s="120"/>
      <c r="BB490" s="120"/>
      <c r="BC490" s="120"/>
      <c r="BD490" s="120"/>
      <c r="BE490" s="120"/>
      <c r="BF490" s="120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20"/>
      <c r="BS490" s="120"/>
      <c r="BT490" s="120"/>
      <c r="BU490" s="120"/>
    </row>
    <row r="491" spans="15:73">
      <c r="O491" s="120"/>
      <c r="P491" s="120"/>
      <c r="Q491" s="120"/>
      <c r="R491" s="120"/>
      <c r="S491" s="120"/>
      <c r="T491" s="120"/>
      <c r="U491" s="120"/>
      <c r="V491" s="120"/>
      <c r="W491" s="120"/>
      <c r="X491" s="120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20"/>
      <c r="AM491" s="120"/>
      <c r="AN491" s="120"/>
      <c r="AO491" s="120"/>
      <c r="AP491" s="120"/>
      <c r="AQ491" s="120"/>
      <c r="AR491" s="120"/>
      <c r="AS491" s="120"/>
      <c r="AT491" s="120"/>
      <c r="AU491" s="120"/>
      <c r="AV491" s="120"/>
      <c r="AW491" s="120"/>
      <c r="AX491" s="120"/>
      <c r="AY491" s="120"/>
      <c r="AZ491" s="120"/>
      <c r="BA491" s="120"/>
      <c r="BB491" s="120"/>
      <c r="BC491" s="120"/>
      <c r="BD491" s="120"/>
      <c r="BE491" s="120"/>
      <c r="BF491" s="120"/>
      <c r="BG491" s="120"/>
      <c r="BH491" s="120"/>
      <c r="BI491" s="120"/>
      <c r="BJ491" s="120"/>
      <c r="BK491" s="120"/>
      <c r="BL491" s="120"/>
      <c r="BM491" s="120"/>
      <c r="BN491" s="120"/>
      <c r="BO491" s="120"/>
      <c r="BP491" s="120"/>
      <c r="BQ491" s="120"/>
      <c r="BR491" s="120"/>
      <c r="BS491" s="120"/>
      <c r="BT491" s="120"/>
      <c r="BU491" s="120"/>
    </row>
    <row r="492" spans="15:73"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20"/>
      <c r="AV492" s="120"/>
      <c r="AW492" s="120"/>
      <c r="AX492" s="120"/>
      <c r="AY492" s="120"/>
      <c r="AZ492" s="120"/>
      <c r="BA492" s="120"/>
      <c r="BB492" s="120"/>
      <c r="BC492" s="120"/>
      <c r="BD492" s="120"/>
      <c r="BE492" s="120"/>
      <c r="BF492" s="120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20"/>
      <c r="BS492" s="120"/>
      <c r="BT492" s="120"/>
      <c r="BU492" s="120"/>
    </row>
    <row r="493" spans="15:73"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20"/>
      <c r="AV493" s="120"/>
      <c r="AW493" s="120"/>
      <c r="AX493" s="120"/>
      <c r="AY493" s="120"/>
      <c r="AZ493" s="120"/>
      <c r="BA493" s="120"/>
      <c r="BB493" s="120"/>
      <c r="BC493" s="120"/>
      <c r="BD493" s="120"/>
      <c r="BE493" s="120"/>
      <c r="BF493" s="120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20"/>
      <c r="BS493" s="120"/>
      <c r="BT493" s="120"/>
      <c r="BU493" s="120"/>
    </row>
    <row r="494" spans="15:73"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20"/>
      <c r="AV494" s="120"/>
      <c r="AW494" s="120"/>
      <c r="AX494" s="120"/>
      <c r="AY494" s="120"/>
      <c r="AZ494" s="120"/>
      <c r="BA494" s="120"/>
      <c r="BB494" s="120"/>
      <c r="BC494" s="120"/>
      <c r="BD494" s="120"/>
      <c r="BE494" s="120"/>
      <c r="BF494" s="120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20"/>
      <c r="BS494" s="120"/>
      <c r="BT494" s="120"/>
      <c r="BU494" s="120"/>
    </row>
    <row r="495" spans="15:73"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20"/>
      <c r="AV495" s="120"/>
      <c r="AW495" s="120"/>
      <c r="AX495" s="120"/>
      <c r="AY495" s="120"/>
      <c r="AZ495" s="120"/>
      <c r="BA495" s="120"/>
      <c r="BB495" s="120"/>
      <c r="BC495" s="120"/>
      <c r="BD495" s="120"/>
      <c r="BE495" s="120"/>
      <c r="BF495" s="120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20"/>
      <c r="BS495" s="120"/>
      <c r="BT495" s="120"/>
      <c r="BU495" s="120"/>
    </row>
    <row r="496" spans="15:73"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20"/>
      <c r="AV496" s="120"/>
      <c r="AW496" s="120"/>
      <c r="AX496" s="120"/>
      <c r="AY496" s="120"/>
      <c r="AZ496" s="120"/>
      <c r="BA496" s="120"/>
      <c r="BB496" s="120"/>
      <c r="BC496" s="120"/>
      <c r="BD496" s="120"/>
      <c r="BE496" s="120"/>
      <c r="BF496" s="120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20"/>
      <c r="BS496" s="120"/>
      <c r="BT496" s="120"/>
      <c r="BU496" s="120"/>
    </row>
    <row r="497" spans="15:73"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20"/>
      <c r="AV497" s="120"/>
      <c r="AW497" s="120"/>
      <c r="AX497" s="120"/>
      <c r="AY497" s="120"/>
      <c r="AZ497" s="120"/>
      <c r="BA497" s="120"/>
      <c r="BB497" s="120"/>
      <c r="BC497" s="120"/>
      <c r="BD497" s="120"/>
      <c r="BE497" s="120"/>
      <c r="BF497" s="120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20"/>
      <c r="BS497" s="120"/>
      <c r="BT497" s="120"/>
      <c r="BU497" s="120"/>
    </row>
    <row r="498" spans="15:73"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20"/>
      <c r="AV498" s="120"/>
      <c r="AW498" s="120"/>
      <c r="AX498" s="120"/>
      <c r="AY498" s="120"/>
      <c r="AZ498" s="120"/>
      <c r="BA498" s="120"/>
      <c r="BB498" s="120"/>
      <c r="BC498" s="120"/>
      <c r="BD498" s="120"/>
      <c r="BE498" s="120"/>
      <c r="BF498" s="120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20"/>
      <c r="BS498" s="120"/>
      <c r="BT498" s="120"/>
      <c r="BU498" s="120"/>
    </row>
    <row r="499" spans="15:73"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20"/>
      <c r="AV499" s="120"/>
      <c r="AW499" s="120"/>
      <c r="AX499" s="120"/>
      <c r="AY499" s="120"/>
      <c r="AZ499" s="120"/>
      <c r="BA499" s="120"/>
      <c r="BB499" s="120"/>
      <c r="BC499" s="120"/>
      <c r="BD499" s="120"/>
      <c r="BE499" s="120"/>
      <c r="BF499" s="120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20"/>
      <c r="BS499" s="120"/>
      <c r="BT499" s="120"/>
      <c r="BU499" s="120"/>
    </row>
    <row r="500" spans="15:73"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20"/>
      <c r="AV500" s="120"/>
      <c r="AW500" s="120"/>
      <c r="AX500" s="120"/>
      <c r="AY500" s="120"/>
      <c r="AZ500" s="120"/>
      <c r="BA500" s="120"/>
      <c r="BB500" s="120"/>
      <c r="BC500" s="120"/>
      <c r="BD500" s="120"/>
      <c r="BE500" s="120"/>
      <c r="BF500" s="120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20"/>
      <c r="BS500" s="120"/>
      <c r="BT500" s="120"/>
      <c r="BU500" s="120"/>
    </row>
    <row r="501" spans="15:73"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20"/>
      <c r="AV501" s="120"/>
      <c r="AW501" s="120"/>
      <c r="AX501" s="120"/>
      <c r="AY501" s="120"/>
      <c r="AZ501" s="120"/>
      <c r="BA501" s="120"/>
      <c r="BB501" s="120"/>
      <c r="BC501" s="120"/>
      <c r="BD501" s="120"/>
      <c r="BE501" s="120"/>
      <c r="BF501" s="120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20"/>
      <c r="BS501" s="120"/>
      <c r="BT501" s="120"/>
      <c r="BU501" s="120"/>
    </row>
    <row r="502" spans="15:73"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20"/>
      <c r="AV502" s="120"/>
      <c r="AW502" s="120"/>
      <c r="AX502" s="120"/>
      <c r="AY502" s="120"/>
      <c r="AZ502" s="120"/>
      <c r="BA502" s="120"/>
      <c r="BB502" s="120"/>
      <c r="BC502" s="120"/>
      <c r="BD502" s="120"/>
      <c r="BE502" s="120"/>
      <c r="BF502" s="120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20"/>
      <c r="BS502" s="120"/>
      <c r="BT502" s="120"/>
      <c r="BU502" s="120"/>
    </row>
    <row r="503" spans="15:73"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20"/>
      <c r="AV503" s="120"/>
      <c r="AW503" s="120"/>
      <c r="AX503" s="120"/>
      <c r="AY503" s="120"/>
      <c r="AZ503" s="120"/>
      <c r="BA503" s="120"/>
      <c r="BB503" s="120"/>
      <c r="BC503" s="120"/>
      <c r="BD503" s="120"/>
      <c r="BE503" s="120"/>
      <c r="BF503" s="120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20"/>
      <c r="BS503" s="120"/>
      <c r="BT503" s="120"/>
      <c r="BU503" s="120"/>
    </row>
    <row r="504" spans="15:73"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20"/>
      <c r="AM504" s="120"/>
      <c r="AN504" s="120"/>
      <c r="AO504" s="120"/>
      <c r="AP504" s="120"/>
      <c r="AQ504" s="120"/>
      <c r="AR504" s="120"/>
      <c r="AS504" s="120"/>
      <c r="AT504" s="120"/>
      <c r="AU504" s="120"/>
      <c r="AV504" s="120"/>
      <c r="AW504" s="120"/>
      <c r="AX504" s="120"/>
      <c r="AY504" s="120"/>
      <c r="AZ504" s="120"/>
      <c r="BA504" s="120"/>
      <c r="BB504" s="120"/>
      <c r="BC504" s="120"/>
      <c r="BD504" s="120"/>
      <c r="BE504" s="120"/>
      <c r="BF504" s="120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20"/>
      <c r="BS504" s="120"/>
      <c r="BT504" s="120"/>
      <c r="BU504" s="120"/>
    </row>
    <row r="505" spans="15:73"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20"/>
      <c r="AM505" s="120"/>
      <c r="AN505" s="120"/>
      <c r="AO505" s="120"/>
      <c r="AP505" s="120"/>
      <c r="AQ505" s="120"/>
      <c r="AR505" s="120"/>
      <c r="AS505" s="120"/>
      <c r="AT505" s="120"/>
      <c r="AU505" s="120"/>
      <c r="AV505" s="120"/>
      <c r="AW505" s="120"/>
      <c r="AX505" s="120"/>
      <c r="AY505" s="120"/>
      <c r="AZ505" s="120"/>
      <c r="BA505" s="120"/>
      <c r="BB505" s="120"/>
      <c r="BC505" s="120"/>
      <c r="BD505" s="120"/>
      <c r="BE505" s="120"/>
      <c r="BF505" s="120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20"/>
      <c r="BS505" s="120"/>
      <c r="BT505" s="120"/>
      <c r="BU505" s="120"/>
    </row>
    <row r="506" spans="15:73"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20"/>
      <c r="AV506" s="120"/>
      <c r="AW506" s="120"/>
      <c r="AX506" s="120"/>
      <c r="AY506" s="120"/>
      <c r="AZ506" s="120"/>
      <c r="BA506" s="120"/>
      <c r="BB506" s="120"/>
      <c r="BC506" s="120"/>
      <c r="BD506" s="120"/>
      <c r="BE506" s="120"/>
      <c r="BF506" s="120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20"/>
      <c r="BS506" s="120"/>
      <c r="BT506" s="120"/>
      <c r="BU506" s="120"/>
    </row>
    <row r="507" spans="15:73"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20"/>
      <c r="AV507" s="120"/>
      <c r="AW507" s="120"/>
      <c r="AX507" s="120"/>
      <c r="AY507" s="120"/>
      <c r="AZ507" s="120"/>
      <c r="BA507" s="120"/>
      <c r="BB507" s="120"/>
      <c r="BC507" s="120"/>
      <c r="BD507" s="120"/>
      <c r="BE507" s="120"/>
      <c r="BF507" s="120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20"/>
      <c r="BS507" s="120"/>
      <c r="BT507" s="120"/>
      <c r="BU507" s="120"/>
    </row>
    <row r="508" spans="15:73"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20"/>
      <c r="AV508" s="120"/>
      <c r="AW508" s="120"/>
      <c r="AX508" s="120"/>
      <c r="AY508" s="120"/>
      <c r="AZ508" s="120"/>
      <c r="BA508" s="120"/>
      <c r="BB508" s="120"/>
      <c r="BC508" s="120"/>
      <c r="BD508" s="120"/>
      <c r="BE508" s="120"/>
      <c r="BF508" s="120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20"/>
      <c r="BS508" s="120"/>
      <c r="BT508" s="120"/>
      <c r="BU508" s="120"/>
    </row>
    <row r="509" spans="15:73"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20"/>
      <c r="AV509" s="120"/>
      <c r="AW509" s="120"/>
      <c r="AX509" s="120"/>
      <c r="AY509" s="120"/>
      <c r="AZ509" s="120"/>
      <c r="BA509" s="120"/>
      <c r="BB509" s="120"/>
      <c r="BC509" s="120"/>
      <c r="BD509" s="120"/>
      <c r="BE509" s="120"/>
      <c r="BF509" s="120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20"/>
      <c r="BS509" s="120"/>
      <c r="BT509" s="120"/>
      <c r="BU509" s="120"/>
    </row>
    <row r="510" spans="15:73"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20"/>
      <c r="AM510" s="120"/>
      <c r="AN510" s="120"/>
      <c r="AO510" s="120"/>
      <c r="AP510" s="120"/>
      <c r="AQ510" s="120"/>
      <c r="AR510" s="120"/>
      <c r="AS510" s="120"/>
      <c r="AT510" s="120"/>
      <c r="AU510" s="120"/>
      <c r="AV510" s="120"/>
      <c r="AW510" s="120"/>
      <c r="AX510" s="120"/>
      <c r="AY510" s="120"/>
      <c r="AZ510" s="120"/>
      <c r="BA510" s="120"/>
      <c r="BB510" s="120"/>
      <c r="BC510" s="120"/>
      <c r="BD510" s="120"/>
      <c r="BE510" s="120"/>
      <c r="BF510" s="120"/>
      <c r="BG510" s="120"/>
      <c r="BH510" s="120"/>
      <c r="BI510" s="120"/>
      <c r="BJ510" s="120"/>
      <c r="BK510" s="120"/>
      <c r="BL510" s="120"/>
      <c r="BM510" s="120"/>
      <c r="BN510" s="120"/>
      <c r="BO510" s="120"/>
      <c r="BP510" s="120"/>
      <c r="BQ510" s="120"/>
      <c r="BR510" s="120"/>
      <c r="BS510" s="120"/>
      <c r="BT510" s="120"/>
      <c r="BU510" s="120"/>
    </row>
    <row r="511" spans="15:73"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20"/>
      <c r="AV511" s="120"/>
      <c r="AW511" s="120"/>
      <c r="AX511" s="120"/>
      <c r="AY511" s="120"/>
      <c r="AZ511" s="120"/>
      <c r="BA511" s="120"/>
      <c r="BB511" s="120"/>
      <c r="BC511" s="120"/>
      <c r="BD511" s="120"/>
      <c r="BE511" s="120"/>
      <c r="BF511" s="120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20"/>
      <c r="BS511" s="120"/>
      <c r="BT511" s="120"/>
      <c r="BU511" s="120"/>
    </row>
    <row r="512" spans="15:73"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20"/>
      <c r="AV512" s="120"/>
      <c r="AW512" s="120"/>
      <c r="AX512" s="120"/>
      <c r="AY512" s="120"/>
      <c r="AZ512" s="120"/>
      <c r="BA512" s="120"/>
      <c r="BB512" s="120"/>
      <c r="BC512" s="120"/>
      <c r="BD512" s="120"/>
      <c r="BE512" s="120"/>
      <c r="BF512" s="120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20"/>
      <c r="BS512" s="120"/>
      <c r="BT512" s="120"/>
      <c r="BU512" s="120"/>
    </row>
    <row r="513" spans="15:73"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20"/>
      <c r="AV513" s="120"/>
      <c r="AW513" s="120"/>
      <c r="AX513" s="120"/>
      <c r="AY513" s="120"/>
      <c r="AZ513" s="120"/>
      <c r="BA513" s="120"/>
      <c r="BB513" s="120"/>
      <c r="BC513" s="120"/>
      <c r="BD513" s="120"/>
      <c r="BE513" s="120"/>
      <c r="BF513" s="120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20"/>
      <c r="BS513" s="120"/>
      <c r="BT513" s="120"/>
      <c r="BU513" s="120"/>
    </row>
    <row r="514" spans="15:73"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20"/>
      <c r="AV514" s="120"/>
      <c r="AW514" s="120"/>
      <c r="AX514" s="120"/>
      <c r="AY514" s="120"/>
      <c r="AZ514" s="120"/>
      <c r="BA514" s="120"/>
      <c r="BB514" s="120"/>
      <c r="BC514" s="120"/>
      <c r="BD514" s="120"/>
      <c r="BE514" s="120"/>
      <c r="BF514" s="120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20"/>
      <c r="BS514" s="120"/>
      <c r="BT514" s="120"/>
      <c r="BU514" s="120"/>
    </row>
    <row r="515" spans="15:73"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20"/>
      <c r="AV515" s="120"/>
      <c r="AW515" s="120"/>
      <c r="AX515" s="120"/>
      <c r="AY515" s="120"/>
      <c r="AZ515" s="120"/>
      <c r="BA515" s="120"/>
      <c r="BB515" s="120"/>
      <c r="BC515" s="120"/>
      <c r="BD515" s="120"/>
      <c r="BE515" s="120"/>
      <c r="BF515" s="120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20"/>
      <c r="BS515" s="120"/>
      <c r="BT515" s="120"/>
      <c r="BU515" s="120"/>
    </row>
    <row r="516" spans="15:73"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20"/>
      <c r="AV516" s="120"/>
      <c r="AW516" s="120"/>
      <c r="AX516" s="120"/>
      <c r="AY516" s="120"/>
      <c r="AZ516" s="120"/>
      <c r="BA516" s="120"/>
      <c r="BB516" s="120"/>
      <c r="BC516" s="120"/>
      <c r="BD516" s="120"/>
      <c r="BE516" s="120"/>
      <c r="BF516" s="120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20"/>
      <c r="BS516" s="120"/>
      <c r="BT516" s="120"/>
      <c r="BU516" s="120"/>
    </row>
    <row r="517" spans="15:73">
      <c r="O517" s="120"/>
      <c r="P517" s="120"/>
      <c r="Q517" s="120"/>
      <c r="R517" s="120"/>
      <c r="S517" s="120"/>
      <c r="T517" s="120"/>
      <c r="U517" s="120"/>
      <c r="V517" s="120"/>
      <c r="W517" s="120"/>
      <c r="X517" s="120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20"/>
      <c r="AM517" s="120"/>
      <c r="AN517" s="120"/>
      <c r="AO517" s="120"/>
      <c r="AP517" s="120"/>
      <c r="AQ517" s="120"/>
      <c r="AR517" s="120"/>
      <c r="AS517" s="120"/>
      <c r="AT517" s="120"/>
      <c r="AU517" s="120"/>
      <c r="AV517" s="120"/>
      <c r="AW517" s="120"/>
      <c r="AX517" s="120"/>
      <c r="AY517" s="120"/>
      <c r="AZ517" s="120"/>
      <c r="BA517" s="120"/>
      <c r="BB517" s="120"/>
      <c r="BC517" s="120"/>
      <c r="BD517" s="120"/>
      <c r="BE517" s="120"/>
      <c r="BF517" s="120"/>
      <c r="BG517" s="120"/>
      <c r="BH517" s="120"/>
      <c r="BI517" s="120"/>
      <c r="BJ517" s="120"/>
      <c r="BK517" s="120"/>
      <c r="BL517" s="120"/>
      <c r="BM517" s="120"/>
      <c r="BN517" s="120"/>
      <c r="BO517" s="120"/>
      <c r="BP517" s="120"/>
      <c r="BQ517" s="120"/>
      <c r="BR517" s="120"/>
      <c r="BS517" s="120"/>
      <c r="BT517" s="120"/>
      <c r="BU517" s="120"/>
    </row>
    <row r="518" spans="15:73"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20"/>
      <c r="AM518" s="120"/>
      <c r="AN518" s="120"/>
      <c r="AO518" s="120"/>
      <c r="AP518" s="120"/>
      <c r="AQ518" s="120"/>
      <c r="AR518" s="120"/>
      <c r="AS518" s="120"/>
      <c r="AT518" s="120"/>
      <c r="AU518" s="120"/>
      <c r="AV518" s="120"/>
      <c r="AW518" s="120"/>
      <c r="AX518" s="120"/>
      <c r="AY518" s="120"/>
      <c r="AZ518" s="120"/>
      <c r="BA518" s="120"/>
      <c r="BB518" s="120"/>
      <c r="BC518" s="120"/>
      <c r="BD518" s="120"/>
      <c r="BE518" s="120"/>
      <c r="BF518" s="120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20"/>
      <c r="BS518" s="120"/>
      <c r="BT518" s="120"/>
      <c r="BU518" s="120"/>
    </row>
    <row r="519" spans="15:73"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20"/>
      <c r="AM519" s="120"/>
      <c r="AN519" s="120"/>
      <c r="AO519" s="120"/>
      <c r="AP519" s="120"/>
      <c r="AQ519" s="120"/>
      <c r="AR519" s="120"/>
      <c r="AS519" s="120"/>
      <c r="AT519" s="120"/>
      <c r="AU519" s="120"/>
      <c r="AV519" s="120"/>
      <c r="AW519" s="120"/>
      <c r="AX519" s="120"/>
      <c r="AY519" s="120"/>
      <c r="AZ519" s="120"/>
      <c r="BA519" s="120"/>
      <c r="BB519" s="120"/>
      <c r="BC519" s="120"/>
      <c r="BD519" s="120"/>
      <c r="BE519" s="120"/>
      <c r="BF519" s="120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20"/>
      <c r="BS519" s="120"/>
      <c r="BT519" s="120"/>
      <c r="BU519" s="120"/>
    </row>
    <row r="520" spans="15:73"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20"/>
      <c r="AV520" s="120"/>
      <c r="AW520" s="120"/>
      <c r="AX520" s="120"/>
      <c r="AY520" s="120"/>
      <c r="AZ520" s="120"/>
      <c r="BA520" s="120"/>
      <c r="BB520" s="120"/>
      <c r="BC520" s="120"/>
      <c r="BD520" s="120"/>
      <c r="BE520" s="120"/>
      <c r="BF520" s="120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20"/>
      <c r="BS520" s="120"/>
      <c r="BT520" s="120"/>
      <c r="BU520" s="120"/>
    </row>
    <row r="521" spans="15:73"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20"/>
      <c r="AV521" s="120"/>
      <c r="AW521" s="120"/>
      <c r="AX521" s="120"/>
      <c r="AY521" s="120"/>
      <c r="AZ521" s="120"/>
      <c r="BA521" s="120"/>
      <c r="BB521" s="120"/>
      <c r="BC521" s="120"/>
      <c r="BD521" s="120"/>
      <c r="BE521" s="120"/>
      <c r="BF521" s="120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20"/>
      <c r="BS521" s="120"/>
      <c r="BT521" s="120"/>
      <c r="BU521" s="120"/>
    </row>
    <row r="522" spans="15:73"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20"/>
      <c r="AM522" s="120"/>
      <c r="AN522" s="120"/>
      <c r="AO522" s="120"/>
      <c r="AP522" s="120"/>
      <c r="AQ522" s="120"/>
      <c r="AR522" s="120"/>
      <c r="AS522" s="120"/>
      <c r="AT522" s="120"/>
      <c r="AU522" s="120"/>
      <c r="AV522" s="120"/>
      <c r="AW522" s="120"/>
      <c r="AX522" s="120"/>
      <c r="AY522" s="120"/>
      <c r="AZ522" s="120"/>
      <c r="BA522" s="120"/>
      <c r="BB522" s="120"/>
      <c r="BC522" s="120"/>
      <c r="BD522" s="120"/>
      <c r="BE522" s="120"/>
      <c r="BF522" s="120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20"/>
      <c r="BS522" s="120"/>
      <c r="BT522" s="120"/>
      <c r="BU522" s="120"/>
    </row>
    <row r="523" spans="15:73"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20"/>
      <c r="AM523" s="120"/>
      <c r="AN523" s="120"/>
      <c r="AO523" s="120"/>
      <c r="AP523" s="120"/>
      <c r="AQ523" s="120"/>
      <c r="AR523" s="120"/>
      <c r="AS523" s="120"/>
      <c r="AT523" s="120"/>
      <c r="AU523" s="120"/>
      <c r="AV523" s="120"/>
      <c r="AW523" s="120"/>
      <c r="AX523" s="120"/>
      <c r="AY523" s="120"/>
      <c r="AZ523" s="120"/>
      <c r="BA523" s="120"/>
      <c r="BB523" s="120"/>
      <c r="BC523" s="120"/>
      <c r="BD523" s="120"/>
      <c r="BE523" s="120"/>
      <c r="BF523" s="120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20"/>
      <c r="BS523" s="120"/>
      <c r="BT523" s="120"/>
      <c r="BU523" s="120"/>
    </row>
    <row r="524" spans="15:73"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20"/>
      <c r="AM524" s="120"/>
      <c r="AN524" s="120"/>
      <c r="AO524" s="120"/>
      <c r="AP524" s="120"/>
      <c r="AQ524" s="120"/>
      <c r="AR524" s="120"/>
      <c r="AS524" s="120"/>
      <c r="AT524" s="120"/>
      <c r="AU524" s="120"/>
      <c r="AV524" s="120"/>
      <c r="AW524" s="120"/>
      <c r="AX524" s="120"/>
      <c r="AY524" s="120"/>
      <c r="AZ524" s="120"/>
      <c r="BA524" s="120"/>
      <c r="BB524" s="120"/>
      <c r="BC524" s="120"/>
      <c r="BD524" s="120"/>
      <c r="BE524" s="120"/>
      <c r="BF524" s="120"/>
      <c r="BG524" s="120"/>
      <c r="BH524" s="120"/>
      <c r="BI524" s="120"/>
      <c r="BJ524" s="120"/>
      <c r="BK524" s="120"/>
      <c r="BL524" s="120"/>
      <c r="BM524" s="120"/>
      <c r="BN524" s="120"/>
      <c r="BO524" s="120"/>
      <c r="BP524" s="120"/>
      <c r="BQ524" s="120"/>
      <c r="BR524" s="120"/>
      <c r="BS524" s="120"/>
      <c r="BT524" s="120"/>
      <c r="BU524" s="120"/>
    </row>
    <row r="525" spans="15:73"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20"/>
      <c r="AV525" s="120"/>
      <c r="AW525" s="120"/>
      <c r="AX525" s="120"/>
      <c r="AY525" s="120"/>
      <c r="AZ525" s="120"/>
      <c r="BA525" s="120"/>
      <c r="BB525" s="120"/>
      <c r="BC525" s="120"/>
      <c r="BD525" s="120"/>
      <c r="BE525" s="120"/>
      <c r="BF525" s="120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20"/>
      <c r="BS525" s="120"/>
      <c r="BT525" s="120"/>
      <c r="BU525" s="120"/>
    </row>
    <row r="526" spans="15:73"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20"/>
      <c r="AV526" s="120"/>
      <c r="AW526" s="120"/>
      <c r="AX526" s="120"/>
      <c r="AY526" s="120"/>
      <c r="AZ526" s="120"/>
      <c r="BA526" s="120"/>
      <c r="BB526" s="120"/>
      <c r="BC526" s="120"/>
      <c r="BD526" s="120"/>
      <c r="BE526" s="120"/>
      <c r="BF526" s="120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20"/>
      <c r="BS526" s="120"/>
      <c r="BT526" s="120"/>
      <c r="BU526" s="120"/>
    </row>
    <row r="527" spans="15:73"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20"/>
      <c r="AV527" s="120"/>
      <c r="AW527" s="120"/>
      <c r="AX527" s="120"/>
      <c r="AY527" s="120"/>
      <c r="AZ527" s="120"/>
      <c r="BA527" s="120"/>
      <c r="BB527" s="120"/>
      <c r="BC527" s="120"/>
      <c r="BD527" s="120"/>
      <c r="BE527" s="120"/>
      <c r="BF527" s="120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20"/>
      <c r="BS527" s="120"/>
      <c r="BT527" s="120"/>
      <c r="BU527" s="120"/>
    </row>
    <row r="528" spans="15:73"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20"/>
      <c r="AV528" s="120"/>
      <c r="AW528" s="120"/>
      <c r="AX528" s="120"/>
      <c r="AY528" s="120"/>
      <c r="AZ528" s="120"/>
      <c r="BA528" s="120"/>
      <c r="BB528" s="120"/>
      <c r="BC528" s="120"/>
      <c r="BD528" s="120"/>
      <c r="BE528" s="120"/>
      <c r="BF528" s="120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20"/>
      <c r="BS528" s="120"/>
      <c r="BT528" s="120"/>
      <c r="BU528" s="120"/>
    </row>
    <row r="529" spans="15:73"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20"/>
      <c r="AV529" s="120"/>
      <c r="AW529" s="120"/>
      <c r="AX529" s="120"/>
      <c r="AY529" s="120"/>
      <c r="AZ529" s="120"/>
      <c r="BA529" s="120"/>
      <c r="BB529" s="120"/>
      <c r="BC529" s="120"/>
      <c r="BD529" s="120"/>
      <c r="BE529" s="120"/>
      <c r="BF529" s="120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20"/>
      <c r="BS529" s="120"/>
      <c r="BT529" s="120"/>
      <c r="BU529" s="120"/>
    </row>
    <row r="530" spans="15:73"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20"/>
      <c r="AV530" s="120"/>
      <c r="AW530" s="120"/>
      <c r="AX530" s="120"/>
      <c r="AY530" s="120"/>
      <c r="AZ530" s="120"/>
      <c r="BA530" s="120"/>
      <c r="BB530" s="120"/>
      <c r="BC530" s="120"/>
      <c r="BD530" s="120"/>
      <c r="BE530" s="120"/>
      <c r="BF530" s="120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20"/>
      <c r="BS530" s="120"/>
      <c r="BT530" s="120"/>
      <c r="BU530" s="120"/>
    </row>
  </sheetData>
  <dataConsolidate link="1"/>
  <phoneticPr fontId="19" type="noConversion"/>
  <pageMargins left="0.75" right="0.75" top="1" bottom="1" header="0.5" footer="0.5"/>
  <pageSetup scale="54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L45"/>
  <sheetViews>
    <sheetView showGridLines="0" zoomScale="70" zoomScaleNormal="70" workbookViewId="0">
      <selection activeCell="G7" sqref="G7"/>
    </sheetView>
  </sheetViews>
  <sheetFormatPr defaultColWidth="9.109375" defaultRowHeight="13.2"/>
  <cols>
    <col min="1" max="1" width="16" style="17" customWidth="1"/>
    <col min="2" max="2" width="12.33203125" style="17" bestFit="1" customWidth="1"/>
    <col min="3" max="3" width="13" style="17" bestFit="1" customWidth="1"/>
    <col min="4" max="4" width="8.6640625" style="17" bestFit="1" customWidth="1"/>
    <col min="5" max="5" width="11.5546875" style="17" bestFit="1" customWidth="1"/>
    <col min="6" max="6" width="1.6640625" style="17" customWidth="1"/>
    <col min="7" max="9" width="11.5546875" style="17" bestFit="1" customWidth="1"/>
    <col min="10" max="10" width="10.6640625" style="17" customWidth="1"/>
    <col min="11" max="11" width="13.5546875" style="17" customWidth="1"/>
    <col min="12" max="12" width="11.6640625" style="17" bestFit="1" customWidth="1"/>
    <col min="13" max="16384" width="9.109375" style="17"/>
  </cols>
  <sheetData>
    <row r="1" spans="1:12" ht="13.8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</row>
    <row r="2" spans="1:12" ht="13.8">
      <c r="A2" s="18"/>
      <c r="B2" s="167" t="s">
        <v>57</v>
      </c>
      <c r="C2" s="167"/>
      <c r="D2" s="167"/>
      <c r="E2" s="167"/>
      <c r="F2" s="22"/>
      <c r="G2" s="167" t="s">
        <v>58</v>
      </c>
      <c r="H2" s="167"/>
      <c r="I2" s="167"/>
      <c r="J2" s="18"/>
    </row>
    <row r="3" spans="1:12" ht="13.8">
      <c r="A3" s="18" t="s">
        <v>17</v>
      </c>
      <c r="B3" s="20" t="s">
        <v>20</v>
      </c>
      <c r="C3" s="24"/>
      <c r="D3" s="24"/>
      <c r="E3" s="24"/>
      <c r="F3" s="24"/>
      <c r="G3" s="24"/>
      <c r="H3" s="24"/>
      <c r="I3" s="24"/>
      <c r="J3" s="20" t="s">
        <v>59</v>
      </c>
    </row>
    <row r="4" spans="1:12" ht="13.8">
      <c r="A4" s="25" t="s">
        <v>60</v>
      </c>
      <c r="B4" s="27" t="s">
        <v>61</v>
      </c>
      <c r="C4" s="27" t="s">
        <v>26</v>
      </c>
      <c r="D4" s="27" t="s">
        <v>27</v>
      </c>
      <c r="E4" s="29" t="s">
        <v>62</v>
      </c>
      <c r="F4" s="28"/>
      <c r="G4" s="27" t="s">
        <v>63</v>
      </c>
      <c r="H4" s="27" t="s">
        <v>64</v>
      </c>
      <c r="I4" s="27" t="s">
        <v>62</v>
      </c>
      <c r="J4" s="27" t="s">
        <v>65</v>
      </c>
    </row>
    <row r="5" spans="1:12" ht="14.4">
      <c r="A5" s="18"/>
      <c r="B5" s="168" t="s">
        <v>66</v>
      </c>
      <c r="C5" s="168"/>
      <c r="D5" s="168"/>
      <c r="E5" s="168"/>
      <c r="F5" s="168"/>
      <c r="G5" s="168"/>
      <c r="H5" s="168"/>
      <c r="I5" s="168"/>
      <c r="J5" s="168"/>
    </row>
    <row r="6" spans="1:12" ht="13.8">
      <c r="A6" s="18" t="s">
        <v>34</v>
      </c>
      <c r="B6" s="49">
        <v>341.33600000000001</v>
      </c>
      <c r="C6" s="50">
        <f>C23</f>
        <v>50564.716999999997</v>
      </c>
      <c r="D6" s="50">
        <f>D23</f>
        <v>784.47037552399991</v>
      </c>
      <c r="E6" s="36">
        <f>E23</f>
        <v>51690.523375523997</v>
      </c>
      <c r="F6" s="50"/>
      <c r="G6" s="50">
        <f>G23</f>
        <v>37674.379976930999</v>
      </c>
      <c r="H6" s="50">
        <f>H23</f>
        <v>13675.348139189</v>
      </c>
      <c r="I6" s="50">
        <f>I23</f>
        <v>51349.728116120001</v>
      </c>
      <c r="J6" s="50">
        <f>J22</f>
        <v>340.786</v>
      </c>
    </row>
    <row r="7" spans="1:12" ht="16.2">
      <c r="A7" s="18" t="s">
        <v>35</v>
      </c>
      <c r="B7" s="49">
        <f>J6</f>
        <v>340.786</v>
      </c>
      <c r="C7" s="50">
        <f>C38</f>
        <v>51810.551000000007</v>
      </c>
      <c r="D7" s="50">
        <f>D38</f>
        <v>649.11497484899996</v>
      </c>
      <c r="E7" s="36">
        <f>E38</f>
        <v>52800.451974849006</v>
      </c>
      <c r="F7" s="50"/>
      <c r="G7" s="50">
        <f>G38</f>
        <v>38965.713926673008</v>
      </c>
      <c r="H7" s="50">
        <f>H38</f>
        <v>13523.811048175998</v>
      </c>
      <c r="I7" s="50">
        <f>I38</f>
        <v>52489.52497484901</v>
      </c>
      <c r="J7" s="50">
        <f>J37</f>
        <v>310.92700000000002</v>
      </c>
    </row>
    <row r="8" spans="1:12" ht="16.2">
      <c r="A8" s="18" t="s">
        <v>36</v>
      </c>
      <c r="B8" s="49">
        <f>J7</f>
        <v>310.92700000000002</v>
      </c>
      <c r="C8" s="50">
        <v>52839.072999999997</v>
      </c>
      <c r="D8" s="50">
        <v>600</v>
      </c>
      <c r="E8" s="36">
        <f>SUM(B8:D8)</f>
        <v>53750</v>
      </c>
      <c r="F8" s="50"/>
      <c r="G8" s="50">
        <v>39700</v>
      </c>
      <c r="H8" s="50">
        <v>13700</v>
      </c>
      <c r="I8" s="50">
        <f>E8-J8</f>
        <v>53400</v>
      </c>
      <c r="J8" s="50">
        <v>350</v>
      </c>
    </row>
    <row r="9" spans="1:12" ht="13.8">
      <c r="A9" s="18"/>
      <c r="B9" s="51"/>
      <c r="C9" s="51"/>
      <c r="D9" s="51"/>
      <c r="E9" s="51"/>
      <c r="F9" s="51"/>
      <c r="G9" s="50"/>
      <c r="H9" s="51"/>
      <c r="I9" s="51"/>
      <c r="J9" s="51"/>
    </row>
    <row r="10" spans="1:12" ht="13.8">
      <c r="A10" s="52" t="s">
        <v>34</v>
      </c>
      <c r="B10" s="53"/>
      <c r="C10" s="7"/>
      <c r="D10" s="7"/>
      <c r="E10" s="7"/>
      <c r="F10" s="7"/>
      <c r="G10" s="7"/>
      <c r="H10" s="7"/>
      <c r="I10" s="7"/>
      <c r="J10" s="7"/>
    </row>
    <row r="11" spans="1:12" ht="14.4">
      <c r="A11" s="22" t="s">
        <v>38</v>
      </c>
      <c r="B11" s="53">
        <v>341.33600000000001</v>
      </c>
      <c r="C11" s="7">
        <v>4615.5919999999996</v>
      </c>
      <c r="D11" s="7">
        <f>(63195.1*1.10231)/1000</f>
        <v>69.660590680999988</v>
      </c>
      <c r="E11" s="7">
        <f t="shared" ref="E11:E17" si="0">SUM(B11:D11)</f>
        <v>5026.5885906809999</v>
      </c>
      <c r="F11" s="6"/>
      <c r="G11" s="5">
        <f t="shared" ref="G11:G17" si="1">I11-H11</f>
        <v>3544.4687225500002</v>
      </c>
      <c r="H11" s="7">
        <f>(1005090.1*1.10231)/1000</f>
        <v>1107.9208681309999</v>
      </c>
      <c r="I11" s="6">
        <f t="shared" ref="I11:I17" si="2">E11-J11</f>
        <v>4652.3895906810003</v>
      </c>
      <c r="J11" s="6">
        <v>374.19900000000001</v>
      </c>
      <c r="K11" s="122"/>
      <c r="L11" s="129"/>
    </row>
    <row r="12" spans="1:12" ht="14.4">
      <c r="A12" s="22" t="s">
        <v>39</v>
      </c>
      <c r="B12" s="53">
        <f t="shared" ref="B12:B17" si="3">J11</f>
        <v>374.19900000000001</v>
      </c>
      <c r="C12" s="7">
        <v>4516.2939999999999</v>
      </c>
      <c r="D12" s="7">
        <f>(61179.8*1.10231)/1000</f>
        <v>67.43910533799999</v>
      </c>
      <c r="E12" s="7">
        <f t="shared" si="0"/>
        <v>4957.932105337999</v>
      </c>
      <c r="F12" s="6"/>
      <c r="G12" s="5">
        <f t="shared" si="1"/>
        <v>3222.3227419899986</v>
      </c>
      <c r="H12" s="7">
        <f>(1158650.8*1.10231)/1000</f>
        <v>1277.1923633480001</v>
      </c>
      <c r="I12" s="6">
        <f t="shared" si="2"/>
        <v>4499.5151053379986</v>
      </c>
      <c r="J12" s="6">
        <v>458.41699999999997</v>
      </c>
      <c r="K12" s="122"/>
      <c r="L12" s="129"/>
    </row>
    <row r="13" spans="1:12" ht="14.4">
      <c r="A13" s="22" t="s">
        <v>41</v>
      </c>
      <c r="B13" s="53">
        <f t="shared" si="3"/>
        <v>458.41699999999997</v>
      </c>
      <c r="C13" s="7">
        <v>4540.9309999999996</v>
      </c>
      <c r="D13" s="7">
        <f>(58497.8*1.10231)/1000</f>
        <v>64.482709917999998</v>
      </c>
      <c r="E13" s="7">
        <f t="shared" si="0"/>
        <v>5063.8307099180001</v>
      </c>
      <c r="F13" s="6"/>
      <c r="G13" s="5">
        <f t="shared" si="1"/>
        <v>3255.1817001230002</v>
      </c>
      <c r="H13" s="7">
        <f>(1314744.5*1.10231)/1000</f>
        <v>1449.256009795</v>
      </c>
      <c r="I13" s="6">
        <f t="shared" si="2"/>
        <v>4704.4377099180001</v>
      </c>
      <c r="J13" s="6">
        <v>359.39299999999997</v>
      </c>
      <c r="K13" s="122"/>
      <c r="L13" s="129"/>
    </row>
    <row r="14" spans="1:12" ht="14.4">
      <c r="A14" s="22" t="s">
        <v>42</v>
      </c>
      <c r="B14" s="53">
        <f t="shared" si="3"/>
        <v>359.39299999999997</v>
      </c>
      <c r="C14" s="7">
        <v>4665.6540000000005</v>
      </c>
      <c r="D14" s="7">
        <f>(62047.8*1.10231)/1000</f>
        <v>68.395910418</v>
      </c>
      <c r="E14" s="7">
        <f t="shared" si="0"/>
        <v>5093.4429104180008</v>
      </c>
      <c r="F14" s="6"/>
      <c r="G14" s="5">
        <f t="shared" si="1"/>
        <v>3127.8642276620008</v>
      </c>
      <c r="H14" s="7">
        <f>(1278927.6*1.10231)/1000</f>
        <v>1409.7746827559999</v>
      </c>
      <c r="I14" s="6">
        <f t="shared" si="2"/>
        <v>4537.6389104180007</v>
      </c>
      <c r="J14" s="6">
        <v>555.80399999999997</v>
      </c>
      <c r="K14" s="122"/>
      <c r="L14" s="129"/>
    </row>
    <row r="15" spans="1:12" ht="14.4">
      <c r="A15" s="22" t="s">
        <v>43</v>
      </c>
      <c r="B15" s="53">
        <f t="shared" si="3"/>
        <v>555.80399999999997</v>
      </c>
      <c r="C15" s="7">
        <v>3918.6709999999998</v>
      </c>
      <c r="D15" s="7">
        <f>(60890.6*1.10231)/1000</f>
        <v>67.120317285999988</v>
      </c>
      <c r="E15" s="7">
        <f t="shared" si="0"/>
        <v>4541.595317285999</v>
      </c>
      <c r="F15" s="6"/>
      <c r="G15" s="5">
        <f t="shared" si="1"/>
        <v>2672.9096129209993</v>
      </c>
      <c r="H15" s="7">
        <f>(1165391.5*1.10231)/1000</f>
        <v>1284.6227043649999</v>
      </c>
      <c r="I15" s="6">
        <f t="shared" si="2"/>
        <v>3957.5323172859989</v>
      </c>
      <c r="J15" s="6">
        <v>584.06299999999999</v>
      </c>
      <c r="K15" s="122"/>
      <c r="L15" s="129"/>
    </row>
    <row r="16" spans="1:12" ht="14.4">
      <c r="A16" s="22" t="s">
        <v>45</v>
      </c>
      <c r="B16" s="53">
        <f t="shared" si="3"/>
        <v>584.06299999999999</v>
      </c>
      <c r="C16" s="7">
        <v>4476.5870000000004</v>
      </c>
      <c r="D16" s="7">
        <f>(66438.8*1.10231)/1000</f>
        <v>73.236153627999997</v>
      </c>
      <c r="E16" s="7">
        <f t="shared" si="0"/>
        <v>5133.8861536280001</v>
      </c>
      <c r="F16" s="6"/>
      <c r="G16" s="5">
        <f t="shared" si="1"/>
        <v>3372.0660884400004</v>
      </c>
      <c r="H16" s="7">
        <f>(1192114.8*1.10231)/1000</f>
        <v>1314.0800651879999</v>
      </c>
      <c r="I16" s="6">
        <f t="shared" si="2"/>
        <v>4686.1461536280003</v>
      </c>
      <c r="J16" s="6">
        <v>447.74</v>
      </c>
      <c r="K16" s="122"/>
      <c r="L16" s="129"/>
    </row>
    <row r="17" spans="1:12" ht="14.4">
      <c r="A17" s="22" t="s">
        <v>46</v>
      </c>
      <c r="B17" s="53">
        <f t="shared" si="3"/>
        <v>447.74</v>
      </c>
      <c r="C17" s="7">
        <v>4044.7089999999998</v>
      </c>
      <c r="D17" s="7">
        <f>(61752.3*1.10231)/1000</f>
        <v>68.070177813000001</v>
      </c>
      <c r="E17" s="7">
        <f t="shared" si="0"/>
        <v>4560.5191778129993</v>
      </c>
      <c r="F17" s="6"/>
      <c r="G17" s="5">
        <f t="shared" si="1"/>
        <v>3053.2937507819988</v>
      </c>
      <c r="H17" s="7">
        <f>(957280.1*1.10231)/1000</f>
        <v>1055.2194270309999</v>
      </c>
      <c r="I17" s="6">
        <f t="shared" si="2"/>
        <v>4108.5131778129989</v>
      </c>
      <c r="J17" s="6">
        <v>452.00599999999997</v>
      </c>
      <c r="K17" s="122"/>
      <c r="L17" s="129"/>
    </row>
    <row r="18" spans="1:12" ht="14.4">
      <c r="A18" s="22" t="s">
        <v>47</v>
      </c>
      <c r="B18" s="53">
        <f t="shared" ref="B18" si="4">J17</f>
        <v>452.00599999999997</v>
      </c>
      <c r="C18" s="7">
        <v>4122.884</v>
      </c>
      <c r="D18" s="7">
        <f>(59445.5*1.10231)/1000</f>
        <v>65.527369104999991</v>
      </c>
      <c r="E18" s="7">
        <f>SUM(B18:D18)</f>
        <v>4640.417369105</v>
      </c>
      <c r="F18" s="6"/>
      <c r="G18" s="5">
        <f t="shared" ref="G18:G22" si="5">I18-H18</f>
        <v>2945.1746302230003</v>
      </c>
      <c r="H18" s="7">
        <f>(955982.2*1.10231)/1000</f>
        <v>1053.788738882</v>
      </c>
      <c r="I18" s="6">
        <f>E18-J18</f>
        <v>3998.9633691050003</v>
      </c>
      <c r="J18" s="6">
        <v>641.45399999999995</v>
      </c>
      <c r="K18" s="122"/>
      <c r="L18" s="129"/>
    </row>
    <row r="19" spans="1:12" ht="14.4">
      <c r="A19" s="22" t="s">
        <v>49</v>
      </c>
      <c r="B19" s="53">
        <f>J18</f>
        <v>641.45399999999995</v>
      </c>
      <c r="C19" s="7">
        <v>3833.951</v>
      </c>
      <c r="D19" s="7">
        <f>(57660*1.10231)/1000</f>
        <v>63.559194599999998</v>
      </c>
      <c r="E19" s="7">
        <f>SUM(B19:D19)</f>
        <v>4538.9641946000002</v>
      </c>
      <c r="F19" s="6"/>
      <c r="G19" s="5">
        <f t="shared" si="5"/>
        <v>3229.4212654980001</v>
      </c>
      <c r="H19" s="7">
        <f>(789744.2*1.10231)/1000</f>
        <v>870.5429291019999</v>
      </c>
      <c r="I19" s="6">
        <f>E19-J19</f>
        <v>4099.9641946000002</v>
      </c>
      <c r="J19" s="6">
        <v>439</v>
      </c>
      <c r="K19" s="122"/>
      <c r="L19" s="129"/>
    </row>
    <row r="20" spans="1:12" ht="14.4">
      <c r="A20" s="22" t="s">
        <v>50</v>
      </c>
      <c r="B20" s="53">
        <f>J19</f>
        <v>439</v>
      </c>
      <c r="C20" s="7">
        <v>3966.4989999999998</v>
      </c>
      <c r="D20" s="7">
        <f>(80443.6*1.10231)/1000</f>
        <v>88.673784716</v>
      </c>
      <c r="E20" s="7">
        <f>SUM(B20:D20)</f>
        <v>4494.172784716</v>
      </c>
      <c r="F20" s="6"/>
      <c r="G20" s="5">
        <f t="shared" si="5"/>
        <v>2937.5170743940002</v>
      </c>
      <c r="H20" s="7">
        <f>(979606.2*1.10231)/1000</f>
        <v>1079.8297103219998</v>
      </c>
      <c r="I20" s="6">
        <f>E20-J20</f>
        <v>4017.346784716</v>
      </c>
      <c r="J20" s="6">
        <v>476.82600000000002</v>
      </c>
      <c r="K20" s="122"/>
      <c r="L20" s="129"/>
    </row>
    <row r="21" spans="1:12" ht="14.4">
      <c r="A21" s="22" t="s">
        <v>51</v>
      </c>
      <c r="B21" s="53">
        <f>J20</f>
        <v>476.82600000000002</v>
      </c>
      <c r="C21" s="7">
        <v>3995.2939999999999</v>
      </c>
      <c r="D21" s="7">
        <f>(42842.6*1.10231)/1000</f>
        <v>47.225826405999996</v>
      </c>
      <c r="E21" s="7">
        <f>SUM(B21:D21)</f>
        <v>4519.345826406</v>
      </c>
      <c r="F21" s="6"/>
      <c r="G21" s="5">
        <f t="shared" si="5"/>
        <v>3202.4835883550004</v>
      </c>
      <c r="H21" s="7">
        <f>(846722.1*1.10231)/1000</f>
        <v>933.35023805099991</v>
      </c>
      <c r="I21" s="6">
        <f>E21-J21</f>
        <v>4135.8338264060003</v>
      </c>
      <c r="J21" s="6">
        <v>383.512</v>
      </c>
      <c r="K21" s="122"/>
      <c r="L21" s="129"/>
    </row>
    <row r="22" spans="1:12" ht="14.4">
      <c r="A22" s="22" t="s">
        <v>37</v>
      </c>
      <c r="B22" s="53">
        <f>J21</f>
        <v>383.512</v>
      </c>
      <c r="C22" s="7">
        <v>3867.6509999999998</v>
      </c>
      <c r="D22" s="7">
        <f>(37258.1*1.10231)/1000</f>
        <v>41.069976210999997</v>
      </c>
      <c r="E22" s="7">
        <f>SUM(B22:D22)</f>
        <v>4292.2329762109994</v>
      </c>
      <c r="F22" s="6"/>
      <c r="G22" s="5">
        <f t="shared" si="5"/>
        <v>3111.6765739929992</v>
      </c>
      <c r="H22" s="7">
        <f>(761827.8*1.10231)/1000</f>
        <v>839.77040221800007</v>
      </c>
      <c r="I22" s="6">
        <f>E22-J22</f>
        <v>3951.4469762109993</v>
      </c>
      <c r="J22" s="6">
        <v>340.786</v>
      </c>
      <c r="K22" s="122"/>
      <c r="L22" s="129"/>
    </row>
    <row r="23" spans="1:12" ht="13.8">
      <c r="A23" s="22" t="s">
        <v>28</v>
      </c>
      <c r="B23" s="53"/>
      <c r="C23" s="7">
        <f>SUM(C11:C22)</f>
        <v>50564.716999999997</v>
      </c>
      <c r="D23" s="7">
        <f>(711660.4*1.10231)/1000</f>
        <v>784.47037552399991</v>
      </c>
      <c r="E23" s="7">
        <f>B11+C23+D23</f>
        <v>51690.523375523997</v>
      </c>
      <c r="F23" s="7"/>
      <c r="G23" s="7">
        <f>SUM(G11:G22)</f>
        <v>37674.379976930999</v>
      </c>
      <c r="H23" s="7">
        <f>(12406081.9*1.10231)/1000</f>
        <v>13675.348139189</v>
      </c>
      <c r="I23" s="7">
        <f>SUM(I11:I22)</f>
        <v>51349.728116120001</v>
      </c>
      <c r="J23" s="7"/>
    </row>
    <row r="24" spans="1:12" ht="13.8">
      <c r="A24" s="22"/>
      <c r="B24" s="53"/>
      <c r="C24" s="7"/>
      <c r="D24" s="7"/>
      <c r="E24" s="7"/>
      <c r="F24" s="7"/>
      <c r="G24" s="7"/>
      <c r="H24" s="7"/>
      <c r="I24" s="7"/>
      <c r="J24" s="7"/>
    </row>
    <row r="25" spans="1:12" ht="13.8">
      <c r="A25" s="52" t="s">
        <v>53</v>
      </c>
      <c r="B25" s="53"/>
      <c r="C25" s="7"/>
      <c r="D25" s="7"/>
      <c r="E25" s="7"/>
      <c r="F25" s="7"/>
      <c r="G25" s="7"/>
      <c r="H25" s="7"/>
      <c r="I25" s="7"/>
      <c r="J25" s="7"/>
    </row>
    <row r="26" spans="1:12" ht="14.4">
      <c r="A26" s="22" t="s">
        <v>38</v>
      </c>
      <c r="B26" s="53">
        <f>J22</f>
        <v>340.786</v>
      </c>
      <c r="C26" s="7">
        <v>4591.6390000000001</v>
      </c>
      <c r="D26" s="7">
        <f>(56544.8*1.10231)/1000</f>
        <v>62.329898487999998</v>
      </c>
      <c r="E26" s="7">
        <f t="shared" ref="E26:E37" si="6">SUM(B26:D26)</f>
        <v>4994.7548984880004</v>
      </c>
      <c r="F26" s="7"/>
      <c r="G26" s="7">
        <f t="shared" ref="G26:G37" si="7">I26-H26</f>
        <v>3492.8235415470008</v>
      </c>
      <c r="H26" s="7">
        <f>(989241.1*1.10231)/1000</f>
        <v>1090.4503569409999</v>
      </c>
      <c r="I26" s="6">
        <f t="shared" ref="I26:I37" si="8">E26-J26</f>
        <v>4583.2738984880007</v>
      </c>
      <c r="J26" s="7">
        <v>411.48099999999999</v>
      </c>
      <c r="K26" s="122"/>
      <c r="L26" s="129"/>
    </row>
    <row r="27" spans="1:12" ht="14.4">
      <c r="A27" s="22" t="s">
        <v>39</v>
      </c>
      <c r="B27" s="53">
        <f t="shared" ref="B27:B34" si="9">J26</f>
        <v>411.48099999999999</v>
      </c>
      <c r="C27" s="7">
        <v>4456.7700000000004</v>
      </c>
      <c r="D27" s="7">
        <f>(33725.3*1.10231)/1000</f>
        <v>37.175735443000001</v>
      </c>
      <c r="E27" s="7">
        <f t="shared" si="6"/>
        <v>4905.4267354430003</v>
      </c>
      <c r="F27" s="7"/>
      <c r="G27" s="7">
        <f t="shared" si="7"/>
        <v>3282.1204081570004</v>
      </c>
      <c r="H27" s="7">
        <f>(1131890.6*1.10231)/1000</f>
        <v>1247.6943272859999</v>
      </c>
      <c r="I27" s="6">
        <f t="shared" si="8"/>
        <v>4529.8147354430002</v>
      </c>
      <c r="J27" s="7">
        <v>375.61200000000002</v>
      </c>
      <c r="K27" s="122"/>
      <c r="L27" s="129"/>
    </row>
    <row r="28" spans="1:12" ht="14.4">
      <c r="A28" s="22" t="s">
        <v>41</v>
      </c>
      <c r="B28" s="53">
        <f t="shared" si="9"/>
        <v>375.61200000000002</v>
      </c>
      <c r="C28" s="7">
        <v>4629.5519999999997</v>
      </c>
      <c r="D28" s="7">
        <f>(33571.6*1.10231)/1000</f>
        <v>37.006310395999996</v>
      </c>
      <c r="E28" s="7">
        <f t="shared" si="6"/>
        <v>5042.1703103959999</v>
      </c>
      <c r="F28" s="7"/>
      <c r="G28" s="7">
        <f t="shared" si="7"/>
        <v>3224.487584683</v>
      </c>
      <c r="H28" s="7">
        <f>(1275842.3*1.10231)/1000</f>
        <v>1406.3737257129999</v>
      </c>
      <c r="I28" s="6">
        <f t="shared" si="8"/>
        <v>4630.8613103959997</v>
      </c>
      <c r="J28" s="7">
        <v>411.30900000000003</v>
      </c>
      <c r="K28" s="122"/>
      <c r="L28" s="129"/>
    </row>
    <row r="29" spans="1:12" ht="14.4">
      <c r="A29" s="22" t="s">
        <v>42</v>
      </c>
      <c r="B29" s="53">
        <f t="shared" si="9"/>
        <v>411.30900000000003</v>
      </c>
      <c r="C29" s="7">
        <v>4533.1530000000002</v>
      </c>
      <c r="D29" s="7">
        <f>(40167.4*1.10231)/1000</f>
        <v>44.276926693999997</v>
      </c>
      <c r="E29" s="7">
        <f t="shared" si="6"/>
        <v>4988.7389266940008</v>
      </c>
      <c r="F29" s="7"/>
      <c r="G29" s="7">
        <f t="shared" si="7"/>
        <v>3259.9617703520012</v>
      </c>
      <c r="H29" s="7">
        <f>(1177548.2*1.10231)/1000</f>
        <v>1298.0231563419998</v>
      </c>
      <c r="I29" s="6">
        <f t="shared" si="8"/>
        <v>4557.9849266940009</v>
      </c>
      <c r="J29" s="7">
        <v>430.75400000000002</v>
      </c>
      <c r="K29" s="122"/>
      <c r="L29" s="129"/>
    </row>
    <row r="30" spans="1:12" ht="14.4">
      <c r="A30" s="22" t="s">
        <v>43</v>
      </c>
      <c r="B30" s="53">
        <f t="shared" si="9"/>
        <v>430.75400000000002</v>
      </c>
      <c r="C30" s="7">
        <v>4089.9549999999999</v>
      </c>
      <c r="D30" s="7">
        <f>(46777.6*1.10231)/1000</f>
        <v>51.563416255999996</v>
      </c>
      <c r="E30" s="7">
        <f t="shared" si="6"/>
        <v>4572.2724162559998</v>
      </c>
      <c r="F30" s="7"/>
      <c r="G30" s="7">
        <f t="shared" si="7"/>
        <v>3104.2082034579998</v>
      </c>
      <c r="H30" s="7">
        <f>(981745.8*1.10231)/1000</f>
        <v>1082.1882127979998</v>
      </c>
      <c r="I30" s="6">
        <f t="shared" si="8"/>
        <v>4186.3964162559996</v>
      </c>
      <c r="J30" s="7">
        <v>385.87599999999998</v>
      </c>
      <c r="K30" s="122"/>
      <c r="L30" s="129"/>
    </row>
    <row r="31" spans="1:12" ht="14.4">
      <c r="A31" s="22" t="s">
        <v>45</v>
      </c>
      <c r="B31" s="53">
        <f t="shared" si="9"/>
        <v>385.87599999999998</v>
      </c>
      <c r="C31" s="7">
        <v>4549.6310000000003</v>
      </c>
      <c r="D31" s="7">
        <f>(36598.4*1.10231)/1000</f>
        <v>40.342782304000004</v>
      </c>
      <c r="E31" s="7">
        <f t="shared" si="6"/>
        <v>4975.8497823040007</v>
      </c>
      <c r="F31" s="7"/>
      <c r="G31" s="7">
        <f t="shared" si="7"/>
        <v>3397.5364563470011</v>
      </c>
      <c r="H31" s="7">
        <f>(1086214.7*1.10231)/1000</f>
        <v>1197.3453259569999</v>
      </c>
      <c r="I31" s="6">
        <f t="shared" si="8"/>
        <v>4594.8817823040008</v>
      </c>
      <c r="J31" s="7">
        <v>380.96800000000002</v>
      </c>
      <c r="K31" s="122"/>
      <c r="L31" s="129"/>
    </row>
    <row r="32" spans="1:12" ht="14.4">
      <c r="A32" s="22" t="s">
        <v>46</v>
      </c>
      <c r="B32" s="53">
        <f t="shared" si="9"/>
        <v>380.96800000000002</v>
      </c>
      <c r="C32" s="7">
        <v>4254.5450000000001</v>
      </c>
      <c r="D32" s="7">
        <f>(55089.9*1.10231)/1000</f>
        <v>60.726147668999999</v>
      </c>
      <c r="E32" s="7">
        <f t="shared" si="6"/>
        <v>4696.239147669</v>
      </c>
      <c r="F32" s="7"/>
      <c r="G32" s="7">
        <f t="shared" si="7"/>
        <v>3065.5731103500002</v>
      </c>
      <c r="H32" s="7">
        <f>(1075604.9*1.10231)/1000</f>
        <v>1185.6500373189999</v>
      </c>
      <c r="I32" s="6">
        <f t="shared" si="8"/>
        <v>4251.2231476690004</v>
      </c>
      <c r="J32" s="7">
        <v>445.01600000000002</v>
      </c>
      <c r="K32" s="122"/>
      <c r="L32" s="129"/>
    </row>
    <row r="33" spans="1:12" ht="14.4">
      <c r="A33" s="22" t="s">
        <v>47</v>
      </c>
      <c r="B33" s="53">
        <f t="shared" si="9"/>
        <v>445.01600000000002</v>
      </c>
      <c r="C33" s="7">
        <v>4260.0889999999999</v>
      </c>
      <c r="D33" s="130">
        <f>(66198.8*1.10231)/1000</f>
        <v>72.971599227999988</v>
      </c>
      <c r="E33" s="7">
        <f t="shared" si="6"/>
        <v>4778.0765992279994</v>
      </c>
      <c r="F33" s="7"/>
      <c r="G33" s="7">
        <f t="shared" si="7"/>
        <v>3171.9378907949995</v>
      </c>
      <c r="H33" s="130">
        <f>(1036354.3*1.10231)/1000</f>
        <v>1142.3837084329998</v>
      </c>
      <c r="I33" s="6">
        <f t="shared" si="8"/>
        <v>4314.3215992279993</v>
      </c>
      <c r="J33" s="7">
        <v>463.755</v>
      </c>
      <c r="K33" s="122"/>
      <c r="L33" s="129"/>
    </row>
    <row r="34" spans="1:12" ht="14.4">
      <c r="A34" s="22" t="s">
        <v>49</v>
      </c>
      <c r="B34" s="53">
        <f t="shared" si="9"/>
        <v>463.755</v>
      </c>
      <c r="C34" s="7">
        <v>4106.5650000000005</v>
      </c>
      <c r="D34" s="130">
        <f>(56052.6*1.10231)/1000</f>
        <v>61.78734150599999</v>
      </c>
      <c r="E34" s="7">
        <f t="shared" si="6"/>
        <v>4632.1073415060009</v>
      </c>
      <c r="F34" s="7"/>
      <c r="G34" s="7">
        <f t="shared" si="7"/>
        <v>3129.3458416380008</v>
      </c>
      <c r="H34" s="130">
        <f>(1039142.8*1.10231)/1000</f>
        <v>1145.457499868</v>
      </c>
      <c r="I34" s="6">
        <f t="shared" si="8"/>
        <v>4274.8033415060008</v>
      </c>
      <c r="J34" s="7">
        <v>357.30399999999997</v>
      </c>
      <c r="K34" s="122"/>
      <c r="L34"/>
    </row>
    <row r="35" spans="1:12" ht="14.4">
      <c r="A35" s="22" t="s">
        <v>50</v>
      </c>
      <c r="B35" s="53">
        <f>J34</f>
        <v>357.30399999999997</v>
      </c>
      <c r="C35" s="7">
        <v>4266.3760000000002</v>
      </c>
      <c r="D35" s="130">
        <f>(67390*1.10231)/1000</f>
        <v>74.284670899999995</v>
      </c>
      <c r="E35" s="7">
        <f t="shared" si="6"/>
        <v>4697.9646708999999</v>
      </c>
      <c r="F35" s="7"/>
      <c r="G35" s="7">
        <f t="shared" si="7"/>
        <v>3259.8698691549998</v>
      </c>
      <c r="H35" s="130">
        <f>(829589.5*1.10231)/1000</f>
        <v>914.46480174499993</v>
      </c>
      <c r="I35" s="6">
        <f t="shared" si="8"/>
        <v>4174.3346708999998</v>
      </c>
      <c r="J35" s="7">
        <v>523.63</v>
      </c>
      <c r="K35" s="122"/>
      <c r="L35"/>
    </row>
    <row r="36" spans="1:12" ht="14.4">
      <c r="A36" s="22" t="s">
        <v>51</v>
      </c>
      <c r="B36" s="53">
        <f>J35</f>
        <v>523.63</v>
      </c>
      <c r="C36" s="7">
        <v>4147.2370000000001</v>
      </c>
      <c r="D36" s="130">
        <f>(45618.3*1.10231)/1000</f>
        <v>50.285508272999998</v>
      </c>
      <c r="E36" s="7">
        <f t="shared" si="6"/>
        <v>4721.1525082730004</v>
      </c>
      <c r="F36" s="7"/>
      <c r="G36" s="7">
        <f t="shared" si="7"/>
        <v>3460.3667325930005</v>
      </c>
      <c r="H36" s="130">
        <f>(828128*1.10231)/1000</f>
        <v>912.85377568000001</v>
      </c>
      <c r="I36" s="6">
        <f t="shared" si="8"/>
        <v>4373.2205082730006</v>
      </c>
      <c r="J36" s="7">
        <v>347.93200000000002</v>
      </c>
      <c r="K36" s="122"/>
      <c r="L36"/>
    </row>
    <row r="37" spans="1:12" ht="14.4">
      <c r="A37" s="22" t="s">
        <v>37</v>
      </c>
      <c r="B37" s="53">
        <f>J36</f>
        <v>347.93200000000002</v>
      </c>
      <c r="C37" s="7">
        <v>3925.0389999999998</v>
      </c>
      <c r="D37" s="130">
        <f>(51133.2*1.10231)/1000</f>
        <v>56.364637691999988</v>
      </c>
      <c r="E37" s="7">
        <f t="shared" si="6"/>
        <v>4329.3356376919992</v>
      </c>
      <c r="F37" s="7"/>
      <c r="G37" s="7">
        <f t="shared" si="7"/>
        <v>3117.482517597999</v>
      </c>
      <c r="H37" s="130">
        <f>(817307.4*1.10231)/1000</f>
        <v>900.92612009399988</v>
      </c>
      <c r="I37" s="6">
        <f t="shared" si="8"/>
        <v>4018.408637691999</v>
      </c>
      <c r="J37" s="7">
        <v>310.92700000000002</v>
      </c>
      <c r="K37" s="122"/>
      <c r="L37"/>
    </row>
    <row r="38" spans="1:12" ht="14.4">
      <c r="A38" s="16" t="s">
        <v>28</v>
      </c>
      <c r="B38" s="54"/>
      <c r="C38" s="45">
        <f>SUM(C26:C37)</f>
        <v>51810.551000000007</v>
      </c>
      <c r="D38" s="45">
        <f>(588867.9*1.10231)/1000</f>
        <v>649.11497484899996</v>
      </c>
      <c r="E38" s="45">
        <f>B26+C38+D38</f>
        <v>52800.451974849006</v>
      </c>
      <c r="F38" s="45"/>
      <c r="G38" s="45">
        <f>SUM(G26:G37)</f>
        <v>38965.713926673008</v>
      </c>
      <c r="H38" s="45">
        <f>(12268609.6*1.10231)/1000</f>
        <v>13523.811048175998</v>
      </c>
      <c r="I38" s="45">
        <f>SUM(I26:I37)</f>
        <v>52489.52497484901</v>
      </c>
      <c r="J38" s="45"/>
      <c r="K38" s="122"/>
      <c r="L38"/>
    </row>
    <row r="39" spans="1:12" ht="16.2">
      <c r="A39" s="55" t="s">
        <v>67</v>
      </c>
      <c r="B39" s="18"/>
      <c r="C39" s="18"/>
      <c r="D39" s="18"/>
      <c r="E39" s="18"/>
      <c r="F39" s="18"/>
      <c r="G39" s="18"/>
      <c r="H39" s="18"/>
      <c r="I39" s="18"/>
      <c r="J39" s="18"/>
    </row>
    <row r="40" spans="1:12" ht="14.4">
      <c r="A40" s="18" t="s">
        <v>68</v>
      </c>
      <c r="B40" s="18"/>
      <c r="C40" s="18"/>
      <c r="D40" s="18"/>
      <c r="E40" s="18"/>
      <c r="F40" s="18"/>
      <c r="G40" s="18"/>
      <c r="H40" s="18"/>
      <c r="I40" s="18"/>
      <c r="J40" s="18"/>
    </row>
    <row r="41" spans="1:12" ht="13.8">
      <c r="A41" s="24" t="s">
        <v>56</v>
      </c>
      <c r="B41" s="47">
        <f>Contents!A16</f>
        <v>44879</v>
      </c>
      <c r="C41" s="43"/>
      <c r="D41" s="37"/>
      <c r="E41" s="37"/>
      <c r="F41" s="37"/>
      <c r="G41" s="37"/>
      <c r="H41" s="37"/>
      <c r="I41" s="37"/>
      <c r="J41" s="37"/>
    </row>
    <row r="42" spans="1:12">
      <c r="A42" s="56"/>
      <c r="B42" s="57"/>
      <c r="C42" s="58"/>
      <c r="D42" s="57"/>
      <c r="E42" s="116"/>
      <c r="F42" s="57"/>
      <c r="G42" s="57"/>
      <c r="H42" s="59"/>
      <c r="I42" s="116"/>
      <c r="J42" s="57"/>
    </row>
    <row r="43" spans="1:12">
      <c r="A43" s="56"/>
      <c r="B43" s="57"/>
      <c r="C43" s="57"/>
      <c r="D43" s="57"/>
      <c r="E43" s="57"/>
      <c r="F43" s="57"/>
      <c r="G43" s="57"/>
      <c r="H43" s="57"/>
      <c r="I43" s="57"/>
      <c r="J43" s="57"/>
    </row>
    <row r="44" spans="1:12">
      <c r="A44" s="56"/>
      <c r="B44" s="56"/>
      <c r="C44" s="56"/>
      <c r="D44" s="56"/>
      <c r="E44" s="56"/>
      <c r="F44" s="56"/>
      <c r="G44" s="56"/>
      <c r="H44" s="56"/>
      <c r="I44" s="56"/>
      <c r="J44" s="56"/>
    </row>
    <row r="45" spans="1:12">
      <c r="A45" s="56"/>
      <c r="B45" s="56"/>
      <c r="C45" s="56"/>
      <c r="D45" s="56"/>
      <c r="E45" s="56"/>
      <c r="F45" s="56"/>
      <c r="G45" s="56"/>
      <c r="H45" s="56"/>
      <c r="I45" s="56"/>
      <c r="J45" s="56"/>
    </row>
  </sheetData>
  <mergeCells count="3">
    <mergeCell ref="G2:I2"/>
    <mergeCell ref="B5:J5"/>
    <mergeCell ref="B2:E2"/>
  </mergeCells>
  <phoneticPr fontId="19" type="noConversion"/>
  <pageMargins left="0.75" right="0.75" top="1" bottom="1" header="0.5" footer="0.5"/>
  <pageSetup scale="85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N42"/>
  <sheetViews>
    <sheetView showGridLines="0" zoomScale="70" zoomScaleNormal="70" workbookViewId="0">
      <selection activeCell="J8" sqref="J8"/>
    </sheetView>
  </sheetViews>
  <sheetFormatPr defaultColWidth="9.109375" defaultRowHeight="13.2"/>
  <cols>
    <col min="1" max="1" width="15.44140625" style="17" customWidth="1"/>
    <col min="2" max="2" width="12.33203125" style="17" bestFit="1" customWidth="1"/>
    <col min="3" max="3" width="12.109375" style="17" bestFit="1" customWidth="1"/>
    <col min="4" max="4" width="11" style="17" bestFit="1" customWidth="1"/>
    <col min="5" max="5" width="11.33203125" style="17" bestFit="1" customWidth="1"/>
    <col min="6" max="6" width="3.6640625" style="17" customWidth="1"/>
    <col min="7" max="7" width="11.5546875" style="17" bestFit="1" customWidth="1"/>
    <col min="8" max="8" width="10.6640625" style="17" customWidth="1"/>
    <col min="9" max="9" width="12.6640625" style="17" customWidth="1"/>
    <col min="10" max="10" width="9.6640625" style="17" bestFit="1" customWidth="1"/>
    <col min="11" max="11" width="11.5546875" style="17" bestFit="1" customWidth="1"/>
    <col min="12" max="12" width="12.5546875" style="17" bestFit="1" customWidth="1"/>
    <col min="13" max="13" width="9.109375" style="17"/>
    <col min="14" max="14" width="11.109375" style="17" customWidth="1"/>
    <col min="15" max="16384" width="9.109375" style="17"/>
  </cols>
  <sheetData>
    <row r="1" spans="1:14" ht="13.8">
      <c r="A1" s="16" t="s">
        <v>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4" ht="13.8">
      <c r="A2" s="18"/>
      <c r="B2" s="167" t="s">
        <v>57</v>
      </c>
      <c r="C2" s="167"/>
      <c r="D2" s="167"/>
      <c r="E2" s="167"/>
      <c r="F2" s="22"/>
      <c r="G2" s="167" t="s">
        <v>58</v>
      </c>
      <c r="H2" s="167"/>
      <c r="I2" s="167"/>
      <c r="J2" s="139"/>
      <c r="K2" s="139"/>
      <c r="L2" s="18"/>
    </row>
    <row r="3" spans="1:14" ht="13.8">
      <c r="A3" s="18" t="s">
        <v>17</v>
      </c>
      <c r="B3" s="20" t="s">
        <v>69</v>
      </c>
      <c r="C3" s="39" t="s">
        <v>26</v>
      </c>
      <c r="D3" s="39" t="s">
        <v>70</v>
      </c>
      <c r="E3" s="39" t="s">
        <v>62</v>
      </c>
      <c r="F3" s="39"/>
      <c r="G3" s="139" t="s">
        <v>63</v>
      </c>
      <c r="H3" s="139"/>
      <c r="I3" s="139"/>
      <c r="J3" s="39" t="s">
        <v>71</v>
      </c>
      <c r="K3" s="39" t="s">
        <v>62</v>
      </c>
      <c r="L3" s="39" t="s">
        <v>59</v>
      </c>
    </row>
    <row r="4" spans="1:14" ht="16.2">
      <c r="A4" s="25" t="s">
        <v>60</v>
      </c>
      <c r="B4" s="27" t="s">
        <v>61</v>
      </c>
      <c r="C4" s="28"/>
      <c r="D4" s="28"/>
      <c r="E4" s="28"/>
      <c r="F4" s="28"/>
      <c r="G4" s="27" t="s">
        <v>28</v>
      </c>
      <c r="H4" s="27" t="s">
        <v>72</v>
      </c>
      <c r="I4" s="27" t="s">
        <v>73</v>
      </c>
      <c r="J4" s="28"/>
      <c r="K4" s="28"/>
      <c r="L4" s="39" t="s">
        <v>65</v>
      </c>
    </row>
    <row r="5" spans="1:14" ht="14.4">
      <c r="A5" s="18"/>
      <c r="B5" s="169" t="s">
        <v>74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</row>
    <row r="6" spans="1:14" ht="13.8">
      <c r="A6" s="18" t="s">
        <v>34</v>
      </c>
      <c r="B6" s="51">
        <v>1852.675</v>
      </c>
      <c r="C6" s="51">
        <f>C23</f>
        <v>25022.667000000001</v>
      </c>
      <c r="D6" s="51">
        <f>D23</f>
        <v>301.5817074144</v>
      </c>
      <c r="E6" s="51">
        <f>E23</f>
        <v>27176.9237074144</v>
      </c>
      <c r="F6" s="51"/>
      <c r="G6" s="51">
        <f>G23</f>
        <v>23314.331825683603</v>
      </c>
      <c r="H6" s="51">
        <f t="shared" ref="H6:J6" si="0">H23</f>
        <v>8920.4621000000006</v>
      </c>
      <c r="I6" s="36">
        <f t="shared" si="0"/>
        <v>14393.8697256836</v>
      </c>
      <c r="J6" s="51">
        <f t="shared" si="0"/>
        <v>1731.3586612685999</v>
      </c>
      <c r="K6" s="51">
        <f>E6-L6</f>
        <v>25045.6907074144</v>
      </c>
      <c r="L6" s="51">
        <f>L22</f>
        <v>2131.2330000000002</v>
      </c>
      <c r="M6" s="111"/>
    </row>
    <row r="7" spans="1:14" ht="16.2">
      <c r="A7" s="18" t="s">
        <v>35</v>
      </c>
      <c r="B7" s="51">
        <f>L6</f>
        <v>2131.2330000000002</v>
      </c>
      <c r="C7" s="51">
        <f>C38</f>
        <v>26143.213000000003</v>
      </c>
      <c r="D7" s="51">
        <f>D38</f>
        <v>303.28830530459993</v>
      </c>
      <c r="E7" s="51">
        <f>E38</f>
        <v>28577.734305304602</v>
      </c>
      <c r="F7" s="51"/>
      <c r="G7" s="51">
        <f>K7-J7</f>
        <v>24804.853173753603</v>
      </c>
      <c r="H7" s="51">
        <v>10350</v>
      </c>
      <c r="I7" s="36">
        <f>G7-H7</f>
        <v>14454.853173753603</v>
      </c>
      <c r="J7" s="51">
        <f>J38</f>
        <v>1773.4431315509999</v>
      </c>
      <c r="K7" s="51">
        <f>E7-L7</f>
        <v>26578.296305304604</v>
      </c>
      <c r="L7" s="51">
        <f>L37</f>
        <v>1999.4380000000001</v>
      </c>
    </row>
    <row r="8" spans="1:14" ht="16.2">
      <c r="A8" s="18" t="s">
        <v>36</v>
      </c>
      <c r="B8" s="51">
        <f>L7</f>
        <v>1999.4380000000001</v>
      </c>
      <c r="C8" s="51">
        <v>26310</v>
      </c>
      <c r="D8" s="51">
        <v>500</v>
      </c>
      <c r="E8" s="51">
        <f>SUM(B8:D8)</f>
        <v>28809.438000000002</v>
      </c>
      <c r="F8" s="51"/>
      <c r="G8" s="51">
        <f>K8-J8</f>
        <v>25650.438000000002</v>
      </c>
      <c r="H8" s="51">
        <v>11800</v>
      </c>
      <c r="I8" s="36">
        <f>G8-H8</f>
        <v>13850.438000000002</v>
      </c>
      <c r="J8" s="51">
        <v>1300</v>
      </c>
      <c r="K8" s="51">
        <f>E8-L8</f>
        <v>26950.438000000002</v>
      </c>
      <c r="L8" s="51">
        <v>1859</v>
      </c>
    </row>
    <row r="9" spans="1:14" ht="13.8">
      <c r="A9" s="18"/>
      <c r="B9" s="51"/>
      <c r="C9" s="51"/>
      <c r="D9" s="51"/>
      <c r="E9" s="51"/>
      <c r="F9" s="51"/>
      <c r="G9" s="51"/>
      <c r="H9" s="51"/>
      <c r="I9" s="112"/>
      <c r="J9" s="51"/>
      <c r="K9" s="51"/>
      <c r="L9" s="51"/>
    </row>
    <row r="10" spans="1:14" ht="13.8">
      <c r="A10" s="40" t="s">
        <v>34</v>
      </c>
      <c r="B10" s="60"/>
      <c r="C10" s="7"/>
      <c r="D10" s="7"/>
      <c r="E10" s="7"/>
      <c r="F10" s="6"/>
      <c r="G10" s="7"/>
      <c r="H10" s="7"/>
      <c r="I10" s="7"/>
      <c r="J10" s="7"/>
      <c r="K10" s="7"/>
      <c r="L10" s="6"/>
    </row>
    <row r="11" spans="1:14" ht="13.8">
      <c r="A11" s="22" t="s">
        <v>38</v>
      </c>
      <c r="B11" s="6">
        <v>1852.675</v>
      </c>
      <c r="C11" s="7">
        <v>2282.471</v>
      </c>
      <c r="D11" s="7">
        <f>(9279.7*2204.622)/1000000</f>
        <v>20.4582307734</v>
      </c>
      <c r="E11" s="7">
        <f t="shared" ref="E11:E17" si="1">SUM(B11:D11)</f>
        <v>4155.6042307733996</v>
      </c>
      <c r="F11" s="6"/>
      <c r="G11" s="6">
        <f t="shared" ref="G11:G17" si="2">K11-J11</f>
        <v>2002.3090817163998</v>
      </c>
      <c r="H11" s="7">
        <v>793.16669999999999</v>
      </c>
      <c r="I11" s="7">
        <f t="shared" ref="I11:I16" si="3">G11-H11</f>
        <v>1209.1423817163998</v>
      </c>
      <c r="J11" s="7">
        <f>(84043.5*2204.622)/1000000</f>
        <v>185.28414905699998</v>
      </c>
      <c r="K11" s="7">
        <f t="shared" ref="K11:K17" si="4">E11-L11</f>
        <v>2187.5932307733997</v>
      </c>
      <c r="L11" s="6">
        <v>1968.011</v>
      </c>
      <c r="N11" s="129"/>
    </row>
    <row r="12" spans="1:14" ht="13.8">
      <c r="A12" s="22" t="s">
        <v>39</v>
      </c>
      <c r="B12" s="6">
        <f t="shared" ref="B12:B17" si="5">L11</f>
        <v>1968.011</v>
      </c>
      <c r="C12" s="7">
        <v>2206.7919999999999</v>
      </c>
      <c r="D12" s="7">
        <f>(9584.1*2204.622)/1000000</f>
        <v>21.129317710200002</v>
      </c>
      <c r="E12" s="7">
        <f t="shared" si="1"/>
        <v>4195.9323177101996</v>
      </c>
      <c r="F12" s="6"/>
      <c r="G12" s="6">
        <f t="shared" si="2"/>
        <v>1902.0001620059995</v>
      </c>
      <c r="H12" s="7">
        <v>753.16669999999999</v>
      </c>
      <c r="I12" s="7">
        <f t="shared" si="3"/>
        <v>1148.8334620059995</v>
      </c>
      <c r="J12" s="7">
        <f>(80211.1*2204.622)/1000000</f>
        <v>176.83515570419999</v>
      </c>
      <c r="K12" s="7">
        <f t="shared" si="4"/>
        <v>2078.8353177101994</v>
      </c>
      <c r="L12" s="6">
        <v>2117.0970000000002</v>
      </c>
      <c r="N12" s="129"/>
    </row>
    <row r="13" spans="1:14" ht="13.8">
      <c r="A13" s="22" t="s">
        <v>41</v>
      </c>
      <c r="B13" s="6">
        <f t="shared" si="5"/>
        <v>2117.0970000000002</v>
      </c>
      <c r="C13" s="7">
        <v>2233.4859999999999</v>
      </c>
      <c r="D13" s="7">
        <f>(11454.4*2204.622)/1000000</f>
        <v>25.252622236799997</v>
      </c>
      <c r="E13" s="7">
        <f t="shared" si="1"/>
        <v>4375.8356222368002</v>
      </c>
      <c r="F13" s="6"/>
      <c r="G13" s="6">
        <f t="shared" si="2"/>
        <v>2030.3938453386002</v>
      </c>
      <c r="H13" s="7">
        <v>814.16669999999999</v>
      </c>
      <c r="I13" s="7">
        <f t="shared" si="3"/>
        <v>1216.2271453386002</v>
      </c>
      <c r="J13" s="7">
        <f>(106438.1*2204.622)/1000000</f>
        <v>234.6557768982</v>
      </c>
      <c r="K13" s="7">
        <f t="shared" si="4"/>
        <v>2265.0496222368001</v>
      </c>
      <c r="L13" s="6">
        <v>2110.7860000000001</v>
      </c>
      <c r="N13" s="129"/>
    </row>
    <row r="14" spans="1:14" ht="13.8">
      <c r="A14" s="22" t="s">
        <v>42</v>
      </c>
      <c r="B14" s="6">
        <f t="shared" si="5"/>
        <v>2110.7860000000001</v>
      </c>
      <c r="C14" s="7">
        <v>2308.752</v>
      </c>
      <c r="D14" s="7">
        <f>(8609.5*2204.622)/1000000</f>
        <v>18.980693108999997</v>
      </c>
      <c r="E14" s="7">
        <f t="shared" si="1"/>
        <v>4438.5186931090002</v>
      </c>
      <c r="F14" s="6"/>
      <c r="G14" s="6">
        <f t="shared" si="2"/>
        <v>1804.7204637692003</v>
      </c>
      <c r="H14" s="7">
        <v>682.77</v>
      </c>
      <c r="I14" s="7">
        <f t="shared" si="3"/>
        <v>1121.9504637692003</v>
      </c>
      <c r="J14" s="7">
        <f>(148690.9*2204.622)/1000000</f>
        <v>327.80722933979996</v>
      </c>
      <c r="K14" s="7">
        <f t="shared" si="4"/>
        <v>2132.5276931090002</v>
      </c>
      <c r="L14" s="6">
        <v>2305.991</v>
      </c>
      <c r="N14" s="129"/>
    </row>
    <row r="15" spans="1:14" ht="13.8">
      <c r="A15" s="22" t="s">
        <v>43</v>
      </c>
      <c r="B15" s="6">
        <f t="shared" si="5"/>
        <v>2305.991</v>
      </c>
      <c r="C15" s="7">
        <v>1924.749</v>
      </c>
      <c r="D15" s="7">
        <f>(9688.5*2204.622)/1000000</f>
        <v>21.359480246999997</v>
      </c>
      <c r="E15" s="7">
        <f t="shared" si="1"/>
        <v>4252.0994802469995</v>
      </c>
      <c r="F15" s="6"/>
      <c r="G15" s="6">
        <f t="shared" si="2"/>
        <v>1691.0133458537998</v>
      </c>
      <c r="H15" s="7">
        <v>552.50900000000001</v>
      </c>
      <c r="I15" s="7">
        <f t="shared" si="3"/>
        <v>1138.5043458537998</v>
      </c>
      <c r="J15" s="7">
        <f>(115710.6*2204.622)/1000000</f>
        <v>255.09813439319998</v>
      </c>
      <c r="K15" s="7">
        <f t="shared" si="4"/>
        <v>1946.1114802469997</v>
      </c>
      <c r="L15" s="6">
        <v>2305.9879999999998</v>
      </c>
      <c r="N15" s="129"/>
    </row>
    <row r="16" spans="1:14" ht="13.8">
      <c r="A16" s="22" t="s">
        <v>45</v>
      </c>
      <c r="B16" s="6">
        <f t="shared" si="5"/>
        <v>2305.9879999999998</v>
      </c>
      <c r="C16" s="7">
        <v>2222.123</v>
      </c>
      <c r="D16" s="7">
        <f>(9723.5*2204.622)/1000000</f>
        <v>21.436642016999997</v>
      </c>
      <c r="E16" s="7">
        <f t="shared" si="1"/>
        <v>4549.5476420169998</v>
      </c>
      <c r="F16" s="6"/>
      <c r="G16" s="6">
        <f t="shared" si="2"/>
        <v>2147.7624239259999</v>
      </c>
      <c r="H16" s="7">
        <v>748.81299999999999</v>
      </c>
      <c r="I16" s="7">
        <f t="shared" si="3"/>
        <v>1398.9494239259998</v>
      </c>
      <c r="J16" s="7">
        <f>(70990.5*2204.622)/1000000</f>
        <v>156.507218091</v>
      </c>
      <c r="K16" s="7">
        <f t="shared" si="4"/>
        <v>2304.269642017</v>
      </c>
      <c r="L16" s="6">
        <v>2245.2779999999998</v>
      </c>
      <c r="N16" s="129"/>
    </row>
    <row r="17" spans="1:14" ht="13.8">
      <c r="A17" s="22" t="s">
        <v>46</v>
      </c>
      <c r="B17" s="6">
        <f t="shared" si="5"/>
        <v>2245.2779999999998</v>
      </c>
      <c r="C17" s="7">
        <v>1991.877</v>
      </c>
      <c r="D17" s="7">
        <f>(9272.8*2204.622)/1000000</f>
        <v>20.443018881599997</v>
      </c>
      <c r="E17" s="7">
        <f t="shared" si="1"/>
        <v>4257.5980188816002</v>
      </c>
      <c r="F17" s="6"/>
      <c r="G17" s="6">
        <f t="shared" si="2"/>
        <v>1950.4267469655999</v>
      </c>
      <c r="H17" s="7">
        <v>699.93299999999999</v>
      </c>
      <c r="I17" s="7">
        <f t="shared" ref="I17:I22" si="6">G17-H17</f>
        <v>1250.4937469655999</v>
      </c>
      <c r="J17" s="7">
        <f>(58778*2204.622)/1000000</f>
        <v>129.583271916</v>
      </c>
      <c r="K17" s="7">
        <f t="shared" si="4"/>
        <v>2080.0100188816</v>
      </c>
      <c r="L17" s="6">
        <v>2177.5880000000002</v>
      </c>
      <c r="N17" s="129"/>
    </row>
    <row r="18" spans="1:14" ht="13.8">
      <c r="A18" s="22" t="s">
        <v>47</v>
      </c>
      <c r="B18" s="6">
        <f t="shared" ref="B18" si="7">L17</f>
        <v>2177.5880000000002</v>
      </c>
      <c r="C18" s="7">
        <v>2043.135</v>
      </c>
      <c r="D18" s="7">
        <f>(7432*2204.622)/1000000</f>
        <v>16.384750703999998</v>
      </c>
      <c r="E18" s="7">
        <f t="shared" ref="E18:E22" si="8">SUM(B18:D18)</f>
        <v>4237.107750704</v>
      </c>
      <c r="F18" s="6"/>
      <c r="G18" s="6">
        <f>K18-J18</f>
        <v>2018.9865195630002</v>
      </c>
      <c r="H18" s="7">
        <v>785.91399999999999</v>
      </c>
      <c r="I18" s="7">
        <f t="shared" si="6"/>
        <v>1233.0725195630002</v>
      </c>
      <c r="J18" s="7">
        <f>(32265.5*2204.622)/1000000</f>
        <v>71.133231140999982</v>
      </c>
      <c r="K18" s="7">
        <f>E18-L18</f>
        <v>2090.1197507040001</v>
      </c>
      <c r="L18" s="6">
        <v>2146.9879999999998</v>
      </c>
      <c r="N18" s="129"/>
    </row>
    <row r="19" spans="1:14" ht="13.8">
      <c r="A19" s="22" t="s">
        <v>49</v>
      </c>
      <c r="B19" s="6">
        <f>L18</f>
        <v>2146.9879999999998</v>
      </c>
      <c r="C19" s="7">
        <v>1908.6489999999999</v>
      </c>
      <c r="D19" s="7">
        <f>(11856.9*2204.622)/1000000</f>
        <v>26.139982591799996</v>
      </c>
      <c r="E19" s="7">
        <f t="shared" si="8"/>
        <v>4081.7769825917999</v>
      </c>
      <c r="F19" s="6"/>
      <c r="G19" s="6">
        <f>K19-J19</f>
        <v>1889.5118995415999</v>
      </c>
      <c r="H19" s="7">
        <v>679.98199999999997</v>
      </c>
      <c r="I19" s="7">
        <f t="shared" si="6"/>
        <v>1209.5298995415999</v>
      </c>
      <c r="J19" s="7">
        <f>(41554.1*2204.622)/1000000</f>
        <v>91.61108305019998</v>
      </c>
      <c r="K19" s="7">
        <f>E19-L19</f>
        <v>1981.1229825917999</v>
      </c>
      <c r="L19" s="6">
        <v>2100.654</v>
      </c>
      <c r="N19" s="129"/>
    </row>
    <row r="20" spans="1:14" ht="13.8">
      <c r="A20" s="22" t="s">
        <v>50</v>
      </c>
      <c r="B20" s="6">
        <f>L19</f>
        <v>2100.654</v>
      </c>
      <c r="C20" s="7">
        <v>1972.6880000000001</v>
      </c>
      <c r="D20" s="7">
        <f>(14747.8*2204.622)/1000000</f>
        <v>32.513324331599996</v>
      </c>
      <c r="E20" s="7">
        <f t="shared" si="8"/>
        <v>4105.8553243316001</v>
      </c>
      <c r="F20" s="6"/>
      <c r="G20" s="6">
        <f>K20-J20</f>
        <v>2005.5471758732001</v>
      </c>
      <c r="H20" s="7">
        <v>807.96799999999996</v>
      </c>
      <c r="I20" s="7">
        <f t="shared" si="6"/>
        <v>1197.5791758732003</v>
      </c>
      <c r="J20" s="7">
        <f>(13697.2*2204.622)/1000000</f>
        <v>30.197148458400001</v>
      </c>
      <c r="K20" s="7">
        <f>E20-L20</f>
        <v>2035.7443243316002</v>
      </c>
      <c r="L20" s="6">
        <v>2070.1109999999999</v>
      </c>
      <c r="N20" s="129"/>
    </row>
    <row r="21" spans="1:14" ht="13.8">
      <c r="A21" s="22" t="s">
        <v>51</v>
      </c>
      <c r="B21" s="6">
        <f>L20</f>
        <v>2070.1109999999999</v>
      </c>
      <c r="C21" s="7">
        <v>1989.7329999999999</v>
      </c>
      <c r="D21" s="7">
        <f>(19314.2*2204.622)/1000000</f>
        <v>42.580510232400002</v>
      </c>
      <c r="E21" s="7">
        <f t="shared" si="8"/>
        <v>4102.4245102324003</v>
      </c>
      <c r="F21" s="6"/>
      <c r="G21" s="6">
        <f>K21-J21</f>
        <v>1880.2042092524005</v>
      </c>
      <c r="H21" s="7">
        <v>822.94799999999998</v>
      </c>
      <c r="I21" s="7">
        <f t="shared" si="6"/>
        <v>1057.2562092524004</v>
      </c>
      <c r="J21" s="7">
        <f>(17590*2204.622)/1000000</f>
        <v>38.779300979999995</v>
      </c>
      <c r="K21" s="7">
        <f>E21-L21</f>
        <v>1918.9835102324005</v>
      </c>
      <c r="L21" s="6">
        <v>2183.4409999999998</v>
      </c>
      <c r="N21" s="129"/>
    </row>
    <row r="22" spans="1:14" ht="13.8">
      <c r="A22" s="22" t="s">
        <v>37</v>
      </c>
      <c r="B22" s="6">
        <f>L21</f>
        <v>2183.4409999999998</v>
      </c>
      <c r="C22" s="7">
        <v>1938.212</v>
      </c>
      <c r="D22" s="7">
        <f>(15831.8*2204.622)/1000000</f>
        <v>34.9031345796</v>
      </c>
      <c r="E22" s="7">
        <f t="shared" si="8"/>
        <v>4156.5561345796004</v>
      </c>
      <c r="F22" s="6"/>
      <c r="G22" s="6">
        <f>K22-J22</f>
        <v>1991.4559518778003</v>
      </c>
      <c r="H22" s="7">
        <v>779.125</v>
      </c>
      <c r="I22" s="7">
        <f t="shared" si="6"/>
        <v>1212.3309518778003</v>
      </c>
      <c r="J22" s="7">
        <f>(15361.9*2204.622)/1000000</f>
        <v>33.867182701799997</v>
      </c>
      <c r="K22" s="7">
        <f>E22-L22</f>
        <v>2025.3231345796003</v>
      </c>
      <c r="L22" s="6">
        <v>2131.2330000000002</v>
      </c>
      <c r="N22" s="129"/>
    </row>
    <row r="23" spans="1:14" ht="13.8">
      <c r="A23" s="22" t="s">
        <v>28</v>
      </c>
      <c r="B23" s="6"/>
      <c r="C23" s="7">
        <f>SUM(C11:C22)</f>
        <v>25022.667000000001</v>
      </c>
      <c r="D23" s="7">
        <f>(136795.2*2204.622)/1000000</f>
        <v>301.5817074144</v>
      </c>
      <c r="E23" s="7">
        <f>B11+C23+D23</f>
        <v>27176.9237074144</v>
      </c>
      <c r="F23" s="6"/>
      <c r="G23" s="6">
        <f>SUM(G11:G22)</f>
        <v>23314.331825683603</v>
      </c>
      <c r="H23" s="7">
        <f>SUM(H11:H22)</f>
        <v>8920.4621000000006</v>
      </c>
      <c r="I23" s="7">
        <f>SUM(I11:I22)</f>
        <v>14393.8697256836</v>
      </c>
      <c r="J23" s="7">
        <f>(785331.3*2204.622)/1000000</f>
        <v>1731.3586612685999</v>
      </c>
      <c r="K23" s="6">
        <f>SUM(K11:K22)</f>
        <v>25045.690707414404</v>
      </c>
      <c r="L23" s="6"/>
    </row>
    <row r="24" spans="1:14" ht="13.8">
      <c r="A24" s="22"/>
      <c r="B24" s="6"/>
      <c r="C24" s="7"/>
      <c r="D24" s="7"/>
      <c r="E24" s="7"/>
      <c r="F24" s="6"/>
      <c r="G24" s="6"/>
      <c r="H24" s="7"/>
      <c r="I24" s="7"/>
      <c r="J24" s="7"/>
      <c r="K24" s="6"/>
      <c r="L24" s="6"/>
    </row>
    <row r="25" spans="1:14" ht="13.8">
      <c r="A25" s="40" t="s">
        <v>53</v>
      </c>
      <c r="B25" s="6"/>
      <c r="C25" s="7"/>
      <c r="D25" s="7"/>
      <c r="E25" s="7"/>
      <c r="F25" s="6"/>
      <c r="G25" s="6"/>
      <c r="H25" s="7"/>
      <c r="I25" s="7"/>
      <c r="J25" s="7"/>
      <c r="K25" s="6"/>
      <c r="L25" s="6"/>
    </row>
    <row r="26" spans="1:14" ht="13.8">
      <c r="A26" s="22" t="s">
        <v>38</v>
      </c>
      <c r="B26" s="6">
        <f>L22</f>
        <v>2131.2330000000002</v>
      </c>
      <c r="C26" s="7">
        <v>2347.58</v>
      </c>
      <c r="D26" s="7">
        <f>(16251.7*2204.622)/1000000</f>
        <v>35.828855357400002</v>
      </c>
      <c r="E26" s="7">
        <f t="shared" ref="E26:E30" si="9">SUM(B26:D26)</f>
        <v>4514.6418553574003</v>
      </c>
      <c r="F26" s="6"/>
      <c r="G26" s="6">
        <f t="shared" ref="G26:G37" si="10">K26-J26</f>
        <v>2071.1409910572002</v>
      </c>
      <c r="H26" s="7">
        <v>832.42700000000002</v>
      </c>
      <c r="I26" s="7">
        <f t="shared" ref="I26:I36" si="11">G26-H26</f>
        <v>1238.7139910572</v>
      </c>
      <c r="J26" s="7">
        <f>(25929.1*2204.622)/1000000</f>
        <v>57.16386430019999</v>
      </c>
      <c r="K26" s="7">
        <f t="shared" ref="K26:K37" si="12">E26-L26</f>
        <v>2128.3048553574004</v>
      </c>
      <c r="L26" s="6">
        <v>2386.337</v>
      </c>
      <c r="N26" s="129"/>
    </row>
    <row r="27" spans="1:14" ht="13.8">
      <c r="A27" s="22" t="s">
        <v>39</v>
      </c>
      <c r="B27" s="6">
        <f t="shared" ref="B27:B37" si="13">L26</f>
        <v>2386.337</v>
      </c>
      <c r="C27" s="7">
        <v>2235.37</v>
      </c>
      <c r="D27" s="7">
        <f>(15479.7*2204.622)/1000000</f>
        <v>34.1268871734</v>
      </c>
      <c r="E27" s="7">
        <f t="shared" si="9"/>
        <v>4655.8338871734004</v>
      </c>
      <c r="F27" s="6"/>
      <c r="G27" s="6">
        <f t="shared" si="10"/>
        <v>2020.5919628710003</v>
      </c>
      <c r="H27" s="7">
        <v>818.01271279999992</v>
      </c>
      <c r="I27" s="7">
        <f t="shared" si="11"/>
        <v>1202.5792500710004</v>
      </c>
      <c r="J27" s="7">
        <f>(103999.2*2204.622)/1000000</f>
        <v>229.27892430239996</v>
      </c>
      <c r="K27" s="7">
        <f t="shared" si="12"/>
        <v>2249.8708871734002</v>
      </c>
      <c r="L27" s="6">
        <v>2405.9630000000002</v>
      </c>
      <c r="N27" s="129"/>
    </row>
    <row r="28" spans="1:14" ht="13.8">
      <c r="A28" s="22" t="s">
        <v>41</v>
      </c>
      <c r="B28" s="6">
        <f t="shared" si="13"/>
        <v>2405.9630000000002</v>
      </c>
      <c r="C28" s="7">
        <v>2324.183</v>
      </c>
      <c r="D28" s="7">
        <f>(14353.5*2204.622)/1000000</f>
        <v>31.644041876999996</v>
      </c>
      <c r="E28" s="7">
        <f t="shared" si="9"/>
        <v>4761.7900418770005</v>
      </c>
      <c r="F28" s="65"/>
      <c r="G28" s="6">
        <f t="shared" si="10"/>
        <v>2130.8006323142004</v>
      </c>
      <c r="H28" s="7">
        <v>938.34100000000001</v>
      </c>
      <c r="I28" s="7">
        <f t="shared" si="11"/>
        <v>1192.4596323142005</v>
      </c>
      <c r="J28" s="7">
        <f>(74887.4*2204.622)/1000000</f>
        <v>165.09840956279999</v>
      </c>
      <c r="K28" s="7">
        <f t="shared" si="12"/>
        <v>2295.8990418770004</v>
      </c>
      <c r="L28" s="6">
        <v>2465.8910000000001</v>
      </c>
      <c r="N28" s="129"/>
    </row>
    <row r="29" spans="1:14" ht="13.8">
      <c r="A29" s="22" t="s">
        <v>42</v>
      </c>
      <c r="B29" s="6">
        <f t="shared" si="13"/>
        <v>2465.8910000000001</v>
      </c>
      <c r="C29" s="7">
        <v>2277.355</v>
      </c>
      <c r="D29" s="7">
        <f>(7352.3*2204.622)/1000000</f>
        <v>16.209042330599999</v>
      </c>
      <c r="E29" s="7">
        <f t="shared" si="9"/>
        <v>4759.4550423306</v>
      </c>
      <c r="F29" s="65"/>
      <c r="G29" s="6">
        <f t="shared" si="10"/>
        <v>1975.1484729870001</v>
      </c>
      <c r="H29" s="7">
        <v>791.38699999999994</v>
      </c>
      <c r="I29" s="7">
        <f t="shared" si="11"/>
        <v>1183.7614729870002</v>
      </c>
      <c r="J29" s="7">
        <f>(128993.8*2204.622)/1000000</f>
        <v>284.38256934359998</v>
      </c>
      <c r="K29" s="7">
        <f t="shared" si="12"/>
        <v>2259.5310423306</v>
      </c>
      <c r="L29" s="6">
        <v>2499.924</v>
      </c>
      <c r="N29" s="129"/>
    </row>
    <row r="30" spans="1:14" ht="13.8">
      <c r="A30" s="22" t="s">
        <v>43</v>
      </c>
      <c r="B30" s="6">
        <f t="shared" si="13"/>
        <v>2499.924</v>
      </c>
      <c r="C30" s="7">
        <v>2064.1990000000001</v>
      </c>
      <c r="D30" s="7">
        <f>(9762.4*2204.622)/1000000</f>
        <v>21.522401812799998</v>
      </c>
      <c r="E30" s="7">
        <f t="shared" si="9"/>
        <v>4585.6454018127997</v>
      </c>
      <c r="F30" s="65"/>
      <c r="G30" s="6">
        <f t="shared" si="10"/>
        <v>1783.8920882499997</v>
      </c>
      <c r="H30" s="7">
        <v>740.60299999999995</v>
      </c>
      <c r="I30" s="7">
        <f t="shared" si="11"/>
        <v>1043.2890882499996</v>
      </c>
      <c r="J30" s="7">
        <f>(106887.4*2204.622)/1000000</f>
        <v>235.64631356279995</v>
      </c>
      <c r="K30" s="7">
        <f t="shared" si="12"/>
        <v>2019.5384018127997</v>
      </c>
      <c r="L30" s="6">
        <v>2566.107</v>
      </c>
      <c r="N30" s="129"/>
    </row>
    <row r="31" spans="1:14" ht="13.8">
      <c r="A31" s="22" t="s">
        <v>45</v>
      </c>
      <c r="B31" s="6">
        <f t="shared" si="13"/>
        <v>2566.107</v>
      </c>
      <c r="C31" s="7">
        <v>2277.5410000000002</v>
      </c>
      <c r="D31" s="7">
        <f>(10063.7*2204.622)/1000000</f>
        <v>22.1866544214</v>
      </c>
      <c r="E31" s="7">
        <f t="shared" ref="E31:E37" si="14">SUM(B31:D31)</f>
        <v>4865.8346544214</v>
      </c>
      <c r="F31" s="65"/>
      <c r="G31" s="6">
        <f t="shared" si="10"/>
        <v>2165.6971246716002</v>
      </c>
      <c r="H31" s="7">
        <v>908.29</v>
      </c>
      <c r="I31" s="7">
        <f t="shared" si="11"/>
        <v>1257.4071246716003</v>
      </c>
      <c r="J31" s="7">
        <f>(120845.9*2204.622)/1000000</f>
        <v>266.41952974979995</v>
      </c>
      <c r="K31" s="7">
        <f t="shared" si="12"/>
        <v>2432.1166544214002</v>
      </c>
      <c r="L31" s="6">
        <v>2433.7179999999998</v>
      </c>
      <c r="N31" s="129"/>
    </row>
    <row r="32" spans="1:14" ht="13.8">
      <c r="A32" s="22" t="s">
        <v>46</v>
      </c>
      <c r="B32" s="6">
        <f t="shared" si="13"/>
        <v>2433.7179999999998</v>
      </c>
      <c r="C32" s="7">
        <v>2143.1179999999999</v>
      </c>
      <c r="D32" s="7">
        <f>(10668.4*2204.622)/1000000</f>
        <v>23.519789344799999</v>
      </c>
      <c r="E32" s="7">
        <f t="shared" si="14"/>
        <v>4600.3557893447996</v>
      </c>
      <c r="F32" s="65"/>
      <c r="G32" s="6">
        <f t="shared" si="10"/>
        <v>2008.0816443671997</v>
      </c>
      <c r="H32" s="7">
        <v>838.9</v>
      </c>
      <c r="I32" s="7">
        <f t="shared" si="11"/>
        <v>1169.1816443671996</v>
      </c>
      <c r="J32" s="7">
        <f>(76240.8*2204.622)/1000000</f>
        <v>168.0821449776</v>
      </c>
      <c r="K32" s="7">
        <f t="shared" si="12"/>
        <v>2176.1637893447996</v>
      </c>
      <c r="L32" s="6">
        <v>2424.192</v>
      </c>
      <c r="N32" s="129"/>
    </row>
    <row r="33" spans="1:14" ht="13.8">
      <c r="A33" s="22" t="s">
        <v>47</v>
      </c>
      <c r="B33" s="6">
        <f t="shared" si="13"/>
        <v>2424.192</v>
      </c>
      <c r="C33" s="7">
        <v>2158.7739999999999</v>
      </c>
      <c r="D33" s="130">
        <f>(11311.9*2204.622)/1000000</f>
        <v>24.938463601799999</v>
      </c>
      <c r="E33" s="7">
        <f t="shared" si="14"/>
        <v>4607.9044636018007</v>
      </c>
      <c r="F33" s="65"/>
      <c r="G33" s="6">
        <f t="shared" si="10"/>
        <v>2149.6411321876008</v>
      </c>
      <c r="H33" s="7">
        <v>855.57100000000003</v>
      </c>
      <c r="I33" s="7">
        <f t="shared" si="11"/>
        <v>1294.0701321876008</v>
      </c>
      <c r="J33" s="130">
        <f>(33516.1*2204.622)/1000000</f>
        <v>73.890331414199991</v>
      </c>
      <c r="K33" s="7">
        <f t="shared" si="12"/>
        <v>2223.5314636018006</v>
      </c>
      <c r="L33" s="6">
        <v>2384.373</v>
      </c>
      <c r="N33" s="129"/>
    </row>
    <row r="34" spans="1:14" ht="13.8">
      <c r="A34" s="22" t="s">
        <v>49</v>
      </c>
      <c r="B34" s="6">
        <f t="shared" si="13"/>
        <v>2384.373</v>
      </c>
      <c r="C34" s="7">
        <v>2068.578</v>
      </c>
      <c r="D34" s="130">
        <f>(10963.3*2204.622)/1000000</f>
        <v>24.169932372599998</v>
      </c>
      <c r="E34" s="7">
        <f t="shared" si="14"/>
        <v>4477.1209323725998</v>
      </c>
      <c r="F34" s="65"/>
      <c r="G34" s="6">
        <f t="shared" si="10"/>
        <v>2088.4572126891999</v>
      </c>
      <c r="H34" s="7">
        <v>809.79899999999998</v>
      </c>
      <c r="I34" s="7">
        <f t="shared" si="11"/>
        <v>1278.6582126891999</v>
      </c>
      <c r="J34" s="130">
        <f>(33184.7*2204.622)/1000000</f>
        <v>73.159719683399985</v>
      </c>
      <c r="K34" s="7">
        <f t="shared" si="12"/>
        <v>2161.6169323725999</v>
      </c>
      <c r="L34" s="6">
        <v>2315.5039999999999</v>
      </c>
      <c r="N34"/>
    </row>
    <row r="35" spans="1:14" ht="13.8">
      <c r="A35" s="22" t="s">
        <v>50</v>
      </c>
      <c r="B35" s="6">
        <f t="shared" si="13"/>
        <v>2315.5039999999999</v>
      </c>
      <c r="C35" s="7">
        <v>2157.9699999999998</v>
      </c>
      <c r="D35" s="130">
        <f>(11391.7*2204.622)/1000000</f>
        <v>25.114392437399999</v>
      </c>
      <c r="E35" s="7">
        <f t="shared" si="14"/>
        <v>4498.5883924374002</v>
      </c>
      <c r="F35" s="65"/>
      <c r="G35" s="6">
        <f t="shared" si="10"/>
        <v>2152.2464242048004</v>
      </c>
      <c r="H35" s="7">
        <v>956.48800000000006</v>
      </c>
      <c r="I35" s="7">
        <f t="shared" si="11"/>
        <v>1195.7584242048003</v>
      </c>
      <c r="J35" s="130">
        <f>(53593.3*2204.622)/1000000</f>
        <v>118.1529682326</v>
      </c>
      <c r="K35" s="7">
        <f t="shared" si="12"/>
        <v>2270.3993924374004</v>
      </c>
      <c r="L35" s="6">
        <v>2228.1889999999999</v>
      </c>
      <c r="N35"/>
    </row>
    <row r="36" spans="1:14" ht="13.8">
      <c r="A36" s="22" t="s">
        <v>51</v>
      </c>
      <c r="B36" s="6">
        <f t="shared" si="13"/>
        <v>2228.1889999999999</v>
      </c>
      <c r="C36" s="7">
        <v>2095.5810000000001</v>
      </c>
      <c r="D36" s="130">
        <f>(9641.3*2204.622)/1000000</f>
        <v>21.2554220886</v>
      </c>
      <c r="E36" s="7">
        <f t="shared" si="14"/>
        <v>4345.0254220886009</v>
      </c>
      <c r="F36" s="65"/>
      <c r="G36" s="6">
        <f t="shared" si="10"/>
        <v>2184.2202080034012</v>
      </c>
      <c r="H36" s="7">
        <v>924.71799999999996</v>
      </c>
      <c r="I36" s="7">
        <f t="shared" si="11"/>
        <v>1259.5022080034014</v>
      </c>
      <c r="J36" s="130">
        <f>(25896.6*2204.622)/1000000</f>
        <v>57.092214085199991</v>
      </c>
      <c r="K36" s="7">
        <f t="shared" si="12"/>
        <v>2241.3124220886011</v>
      </c>
      <c r="L36" s="6">
        <v>2103.7129999999997</v>
      </c>
      <c r="N36"/>
    </row>
    <row r="37" spans="1:14" ht="13.8">
      <c r="A37" s="22" t="s">
        <v>37</v>
      </c>
      <c r="B37" s="6">
        <f t="shared" si="13"/>
        <v>2103.7129999999997</v>
      </c>
      <c r="C37" s="7">
        <v>1992.9639999999999</v>
      </c>
      <c r="D37" s="130">
        <f>(10329.4*2204.622)/1000000</f>
        <v>22.772422486799996</v>
      </c>
      <c r="E37" s="7">
        <f t="shared" si="14"/>
        <v>4119.4494224867994</v>
      </c>
      <c r="F37" s="65"/>
      <c r="G37" s="6">
        <f t="shared" si="10"/>
        <v>2074.9350596881995</v>
      </c>
      <c r="H37" s="7" t="s">
        <v>75</v>
      </c>
      <c r="I37" s="7" t="s">
        <v>75</v>
      </c>
      <c r="J37" s="130">
        <f>(20446.3*2204.622)/1000000</f>
        <v>45.076362798599995</v>
      </c>
      <c r="K37" s="7">
        <f t="shared" si="12"/>
        <v>2120.0114224867993</v>
      </c>
      <c r="L37" s="6">
        <v>1999.4380000000001</v>
      </c>
      <c r="N37"/>
    </row>
    <row r="38" spans="1:14" ht="13.8">
      <c r="A38" s="16" t="s">
        <v>28</v>
      </c>
      <c r="B38" s="61"/>
      <c r="C38" s="45">
        <f>SUM(C26:C37)</f>
        <v>26143.213000000003</v>
      </c>
      <c r="D38" s="45">
        <f>(137569.3*2204.622)/1000000</f>
        <v>303.28830530459993</v>
      </c>
      <c r="E38" s="45">
        <f>B26+C38+D38</f>
        <v>28577.734305304602</v>
      </c>
      <c r="F38" s="61"/>
      <c r="G38" s="61">
        <f>SUM(G26:G37)</f>
        <v>24804.8529532914</v>
      </c>
      <c r="H38" s="45">
        <f>SUM(H26:H37)</f>
        <v>9414.5367127999998</v>
      </c>
      <c r="I38" s="45">
        <f>SUM(I26:I37)</f>
        <v>13315.381180803202</v>
      </c>
      <c r="J38" s="45">
        <f>(804420.5*2204.622)/1000000</f>
        <v>1773.4431315509999</v>
      </c>
      <c r="K38" s="61">
        <f>SUM(K26:K37)</f>
        <v>26578.296305304604</v>
      </c>
      <c r="L38" s="61"/>
      <c r="N38"/>
    </row>
    <row r="39" spans="1:14" ht="16.2">
      <c r="A39" s="55" t="s">
        <v>76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1:14" ht="14.4">
      <c r="A40" s="18" t="s">
        <v>68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</row>
    <row r="41" spans="1:14" ht="13.8">
      <c r="A41" s="24" t="s">
        <v>56</v>
      </c>
      <c r="B41" s="47">
        <f>Contents!A16</f>
        <v>44879</v>
      </c>
      <c r="K41" s="44"/>
    </row>
    <row r="42" spans="1:14">
      <c r="E42" s="44"/>
    </row>
  </sheetData>
  <mergeCells count="3">
    <mergeCell ref="B5:L5"/>
    <mergeCell ref="G2:I2"/>
    <mergeCell ref="B2:E2"/>
  </mergeCells>
  <phoneticPr fontId="19" type="noConversion"/>
  <pageMargins left="0.75" right="0.75" top="1" bottom="1" header="0.5" footer="0.5"/>
  <pageSetup scale="6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Q54"/>
  <sheetViews>
    <sheetView showGridLines="0" zoomScale="70" zoomScaleNormal="70" workbookViewId="0">
      <selection activeCell="K8" sqref="K8"/>
    </sheetView>
  </sheetViews>
  <sheetFormatPr defaultColWidth="9.109375" defaultRowHeight="13.2"/>
  <cols>
    <col min="1" max="1" width="15.33203125" style="17" customWidth="1"/>
    <col min="2" max="2" width="13.109375" style="17" customWidth="1"/>
    <col min="3" max="3" width="12.109375" style="17" customWidth="1"/>
    <col min="4" max="4" width="13.44140625" style="17" customWidth="1"/>
    <col min="5" max="5" width="15.33203125" style="17" customWidth="1"/>
    <col min="6" max="6" width="11.44140625" style="17" customWidth="1"/>
    <col min="7" max="7" width="11.6640625" style="17" customWidth="1"/>
    <col min="8" max="8" width="8.6640625" style="17" customWidth="1"/>
    <col min="9" max="9" width="9.6640625" style="17" customWidth="1"/>
    <col min="10" max="11" width="7.6640625" style="17" customWidth="1"/>
    <col min="12" max="12" width="8.5546875" style="17" customWidth="1"/>
    <col min="13" max="13" width="9.5546875" style="17" customWidth="1"/>
    <col min="14" max="15" width="7.5546875" style="17" customWidth="1"/>
    <col min="16" max="18" width="9.109375" style="17"/>
    <col min="19" max="19" width="17.44140625" style="17" bestFit="1" customWidth="1"/>
    <col min="20" max="20" width="9.109375" style="17"/>
    <col min="21" max="21" width="28.33203125" style="17" bestFit="1" customWidth="1"/>
    <col min="22" max="16384" width="9.109375" style="17"/>
  </cols>
  <sheetData>
    <row r="1" spans="1:15" ht="13.8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8"/>
      <c r="M1" s="18"/>
      <c r="N1" s="18"/>
      <c r="O1" s="18"/>
    </row>
    <row r="2" spans="1:15" ht="13.8">
      <c r="A2" s="18"/>
      <c r="B2" s="167" t="s">
        <v>57</v>
      </c>
      <c r="C2" s="167"/>
      <c r="D2" s="167"/>
      <c r="E2" s="167"/>
      <c r="F2" s="92"/>
      <c r="G2" s="167" t="s">
        <v>58</v>
      </c>
      <c r="H2" s="167"/>
      <c r="I2" s="167"/>
      <c r="J2" s="167"/>
      <c r="K2" s="92"/>
      <c r="L2" s="18"/>
      <c r="M2" s="18"/>
      <c r="N2" s="18"/>
      <c r="O2" s="18"/>
    </row>
    <row r="3" spans="1:15" ht="13.8">
      <c r="A3" s="18" t="s">
        <v>17</v>
      </c>
      <c r="B3" s="24" t="s">
        <v>69</v>
      </c>
      <c r="C3" s="24"/>
      <c r="D3" s="24"/>
      <c r="E3" s="24"/>
      <c r="F3" s="93"/>
      <c r="G3" s="24"/>
      <c r="H3" s="24"/>
      <c r="I3" s="24"/>
      <c r="J3" s="24"/>
      <c r="K3" s="20" t="s">
        <v>59</v>
      </c>
      <c r="L3" s="18"/>
      <c r="M3" s="18"/>
      <c r="N3" s="18"/>
      <c r="O3" s="18"/>
    </row>
    <row r="4" spans="1:15" ht="13.8">
      <c r="A4" s="25" t="s">
        <v>77</v>
      </c>
      <c r="B4" s="27" t="s">
        <v>78</v>
      </c>
      <c r="C4" s="75" t="s">
        <v>26</v>
      </c>
      <c r="D4" s="29" t="s">
        <v>70</v>
      </c>
      <c r="E4" s="27" t="s">
        <v>79</v>
      </c>
      <c r="F4" s="28"/>
      <c r="G4" s="27" t="s">
        <v>80</v>
      </c>
      <c r="H4" s="27" t="s">
        <v>30</v>
      </c>
      <c r="I4" s="27" t="s">
        <v>81</v>
      </c>
      <c r="J4" s="27" t="s">
        <v>82</v>
      </c>
      <c r="K4" s="27" t="s">
        <v>61</v>
      </c>
      <c r="L4" s="18"/>
      <c r="M4" s="18"/>
      <c r="N4" s="18"/>
      <c r="O4" s="18"/>
    </row>
    <row r="5" spans="1:15" ht="14.4">
      <c r="A5" s="18"/>
      <c r="B5" s="172" t="s">
        <v>83</v>
      </c>
      <c r="C5" s="172"/>
      <c r="D5" s="172"/>
      <c r="E5" s="172"/>
      <c r="F5" s="172"/>
      <c r="G5" s="172"/>
      <c r="H5" s="172"/>
      <c r="I5" s="172"/>
      <c r="J5" s="172"/>
      <c r="K5" s="172"/>
      <c r="L5" s="18"/>
      <c r="M5" s="18"/>
      <c r="N5" s="18"/>
      <c r="O5" s="18"/>
    </row>
    <row r="6" spans="1:15" ht="13.8">
      <c r="A6" s="22" t="s">
        <v>34</v>
      </c>
      <c r="B6" s="95">
        <v>456.0068619717149</v>
      </c>
      <c r="C6" s="95">
        <v>4468</v>
      </c>
      <c r="D6" s="96">
        <v>1</v>
      </c>
      <c r="E6" s="95">
        <f>B6+C6+D6</f>
        <v>4925.0068619717149</v>
      </c>
      <c r="F6" s="97"/>
      <c r="G6" s="95">
        <v>1562.7429999999999</v>
      </c>
      <c r="H6" s="98">
        <v>279.55399999999997</v>
      </c>
      <c r="I6" s="95">
        <f>J6-G6-H6</f>
        <v>2687.0673090269106</v>
      </c>
      <c r="J6" s="95">
        <f>E6-K6</f>
        <v>4529.3643090269106</v>
      </c>
      <c r="K6" s="95">
        <v>395.64255294480427</v>
      </c>
      <c r="L6" s="18"/>
      <c r="M6" s="18"/>
      <c r="N6" s="18"/>
      <c r="O6" s="18"/>
    </row>
    <row r="7" spans="1:15" ht="16.2">
      <c r="A7" s="22" t="s">
        <v>35</v>
      </c>
      <c r="B7" s="95">
        <f>K6</f>
        <v>395.64255294480427</v>
      </c>
      <c r="C7" s="95">
        <v>5323</v>
      </c>
      <c r="D7" s="96">
        <v>24.765738432900992</v>
      </c>
      <c r="E7" s="95">
        <f>B7+C7+D7</f>
        <v>5743.4082913777056</v>
      </c>
      <c r="F7" s="97"/>
      <c r="G7" s="95">
        <v>1556.9839999999999</v>
      </c>
      <c r="H7" s="98">
        <v>297.69790855776995</v>
      </c>
      <c r="I7" s="95">
        <f>J7-G7-H7</f>
        <v>3493.8003828199353</v>
      </c>
      <c r="J7" s="95">
        <f>E7-K7</f>
        <v>5348.4822913777052</v>
      </c>
      <c r="K7" s="95">
        <v>394.92599999999999</v>
      </c>
      <c r="L7" s="18"/>
      <c r="M7" s="18"/>
      <c r="N7" s="18"/>
      <c r="O7" s="18"/>
    </row>
    <row r="8" spans="1:15" ht="16.2">
      <c r="A8" s="16" t="s">
        <v>36</v>
      </c>
      <c r="B8" s="99">
        <f>K7</f>
        <v>394.92599999999999</v>
      </c>
      <c r="C8" s="99">
        <v>4260</v>
      </c>
      <c r="D8" s="100">
        <v>30</v>
      </c>
      <c r="E8" s="99">
        <f>B8+C8+D8</f>
        <v>4684.9260000000004</v>
      </c>
      <c r="F8" s="101"/>
      <c r="G8" s="99">
        <v>1480</v>
      </c>
      <c r="H8" s="102">
        <v>225</v>
      </c>
      <c r="I8" s="99">
        <f>J8-G8-H8</f>
        <v>2589</v>
      </c>
      <c r="J8" s="99">
        <f>E8-K8</f>
        <v>4294</v>
      </c>
      <c r="K8" s="99">
        <v>390.92599999999999</v>
      </c>
      <c r="L8" s="18"/>
      <c r="M8" s="18"/>
      <c r="N8" s="18"/>
      <c r="O8" s="18"/>
    </row>
    <row r="9" spans="1:15" ht="16.2">
      <c r="A9" s="55" t="s">
        <v>84</v>
      </c>
      <c r="B9" s="18"/>
      <c r="C9" s="94"/>
      <c r="D9" s="94"/>
      <c r="E9" s="94"/>
      <c r="F9" s="94"/>
      <c r="G9" s="103"/>
      <c r="H9" s="94"/>
      <c r="I9" s="94"/>
      <c r="J9" s="94"/>
      <c r="K9" s="18"/>
      <c r="L9" s="18"/>
      <c r="M9" s="18"/>
      <c r="N9" s="18"/>
      <c r="O9" s="18"/>
    </row>
    <row r="10" spans="1:15" ht="14.4">
      <c r="A10" s="18" t="s">
        <v>85</v>
      </c>
      <c r="B10" s="37"/>
      <c r="C10" s="43"/>
      <c r="D10" s="18"/>
      <c r="E10" s="37"/>
      <c r="F10" s="37"/>
      <c r="G10" s="37"/>
      <c r="H10" s="37"/>
      <c r="I10" s="37"/>
      <c r="J10" s="37"/>
      <c r="K10" s="18"/>
      <c r="L10" s="18"/>
      <c r="M10" s="18"/>
      <c r="N10" s="18"/>
      <c r="O10" s="18"/>
    </row>
    <row r="11" spans="1:15" ht="14.4">
      <c r="A11" s="18" t="s">
        <v>86</v>
      </c>
      <c r="B11" s="37"/>
      <c r="C11" s="43"/>
      <c r="D11" s="18"/>
      <c r="E11" s="37"/>
      <c r="F11" s="37"/>
      <c r="G11" s="37"/>
      <c r="H11" s="37"/>
      <c r="I11" s="37"/>
      <c r="J11" s="37"/>
      <c r="K11" s="18"/>
      <c r="L11" s="18"/>
      <c r="M11" s="18"/>
      <c r="N11" s="18"/>
      <c r="O11" s="18"/>
    </row>
    <row r="12" spans="1:15" ht="13.8">
      <c r="A12" s="18"/>
      <c r="B12" s="37"/>
      <c r="C12" s="43"/>
      <c r="D12" s="18"/>
      <c r="E12" s="37"/>
      <c r="F12" s="37"/>
      <c r="G12" s="37"/>
      <c r="H12" s="37"/>
      <c r="I12" s="37"/>
      <c r="J12" s="37"/>
      <c r="K12" s="18"/>
      <c r="L12" s="18"/>
      <c r="M12" s="18"/>
      <c r="N12" s="18"/>
      <c r="O12" s="18"/>
    </row>
    <row r="13" spans="1:15" ht="13.8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ht="13.8">
      <c r="A14" s="16" t="s">
        <v>5</v>
      </c>
      <c r="B14" s="16"/>
      <c r="C14" s="16"/>
      <c r="D14" s="16"/>
      <c r="E14" s="16"/>
      <c r="F14" s="16"/>
      <c r="G14" s="16"/>
      <c r="H14" s="16"/>
      <c r="I14" s="18"/>
      <c r="J14" s="16"/>
      <c r="K14" s="18"/>
      <c r="L14" s="18"/>
      <c r="M14" s="18"/>
      <c r="N14" s="18"/>
      <c r="O14" s="18"/>
    </row>
    <row r="15" spans="1:15" ht="13.8">
      <c r="A15" s="18"/>
      <c r="B15" s="167" t="s">
        <v>57</v>
      </c>
      <c r="C15" s="167"/>
      <c r="D15" s="167"/>
      <c r="E15" s="167"/>
      <c r="F15" s="18"/>
      <c r="G15" s="167" t="s">
        <v>58</v>
      </c>
      <c r="H15" s="167"/>
      <c r="I15" s="167"/>
      <c r="J15" s="18"/>
      <c r="K15" s="18"/>
      <c r="L15" s="18"/>
      <c r="M15" s="18"/>
      <c r="N15" s="18"/>
      <c r="O15" s="18"/>
    </row>
    <row r="16" spans="1:15" ht="13.8">
      <c r="A16" s="18" t="s">
        <v>17</v>
      </c>
      <c r="B16" s="20" t="s">
        <v>69</v>
      </c>
      <c r="C16" s="24"/>
      <c r="D16" s="24"/>
      <c r="E16" s="24"/>
      <c r="F16" s="24"/>
      <c r="G16" s="24"/>
      <c r="H16" s="24"/>
      <c r="I16" s="24"/>
      <c r="J16" s="20" t="s">
        <v>59</v>
      </c>
      <c r="K16" s="18"/>
      <c r="L16" s="18"/>
      <c r="M16" s="18"/>
      <c r="N16" s="18"/>
      <c r="O16" s="18"/>
    </row>
    <row r="17" spans="1:15" ht="13.8">
      <c r="A17" s="25" t="s">
        <v>60</v>
      </c>
      <c r="B17" s="27" t="s">
        <v>61</v>
      </c>
      <c r="C17" s="75" t="s">
        <v>26</v>
      </c>
      <c r="D17" s="29" t="s">
        <v>70</v>
      </c>
      <c r="E17" s="27" t="s">
        <v>82</v>
      </c>
      <c r="F17" s="28"/>
      <c r="G17" s="95" t="s">
        <v>87</v>
      </c>
      <c r="H17" s="27" t="s">
        <v>30</v>
      </c>
      <c r="I17" s="29" t="s">
        <v>62</v>
      </c>
      <c r="J17" s="27" t="s">
        <v>61</v>
      </c>
      <c r="K17" s="18"/>
      <c r="L17" s="18"/>
      <c r="M17" s="18"/>
      <c r="N17" s="18"/>
      <c r="O17" s="18"/>
    </row>
    <row r="18" spans="1:15" ht="14.4">
      <c r="A18" s="18"/>
      <c r="B18" s="172" t="s">
        <v>88</v>
      </c>
      <c r="C18" s="172"/>
      <c r="D18" s="172"/>
      <c r="E18" s="172"/>
      <c r="F18" s="172"/>
      <c r="G18" s="172"/>
      <c r="H18" s="172"/>
      <c r="I18" s="172"/>
      <c r="J18" s="172"/>
      <c r="K18" s="18"/>
      <c r="L18" s="18"/>
      <c r="M18" s="18"/>
      <c r="N18" s="18"/>
      <c r="O18" s="18"/>
    </row>
    <row r="19" spans="1:15" ht="13.8">
      <c r="A19" s="22" t="s">
        <v>34</v>
      </c>
      <c r="B19" s="95">
        <v>24.872</v>
      </c>
      <c r="C19" s="98">
        <v>648.57100000000003</v>
      </c>
      <c r="D19" s="96">
        <v>0</v>
      </c>
      <c r="E19" s="98">
        <f>B19+C19+D19</f>
        <v>673.44299999999998</v>
      </c>
      <c r="F19" s="97"/>
      <c r="G19" s="98">
        <v>573.37699999999995</v>
      </c>
      <c r="H19" s="98">
        <v>60.759509638330982</v>
      </c>
      <c r="I19" s="98">
        <f>SUM(G19:H19)</f>
        <v>634.13650963833095</v>
      </c>
      <c r="J19" s="95">
        <v>39.305999999999997</v>
      </c>
      <c r="K19" s="18"/>
      <c r="L19" s="18"/>
      <c r="M19" s="18"/>
      <c r="N19" s="18"/>
      <c r="O19" s="18"/>
    </row>
    <row r="20" spans="1:15" ht="16.2">
      <c r="A20" s="22" t="s">
        <v>35</v>
      </c>
      <c r="B20" s="95">
        <f>J19</f>
        <v>39.305999999999997</v>
      </c>
      <c r="C20" s="98">
        <v>695</v>
      </c>
      <c r="D20" s="96">
        <v>0.10141264051999997</v>
      </c>
      <c r="E20" s="98">
        <f>B20+C20+D20</f>
        <v>734.40741264052008</v>
      </c>
      <c r="F20" s="97"/>
      <c r="G20" s="98">
        <f>E20-J20-H20</f>
        <v>658.743182863843</v>
      </c>
      <c r="H20" s="98">
        <v>53.348229776676988</v>
      </c>
      <c r="I20" s="98">
        <f>SUM(G20:H20)</f>
        <v>712.09141264052005</v>
      </c>
      <c r="J20" s="95">
        <v>22.315999999999999</v>
      </c>
      <c r="K20" s="18"/>
      <c r="L20" s="18"/>
      <c r="M20" s="18"/>
      <c r="N20" s="18"/>
      <c r="O20" s="18"/>
    </row>
    <row r="21" spans="1:15" ht="16.2">
      <c r="A21" s="16" t="s">
        <v>36</v>
      </c>
      <c r="B21" s="99">
        <f>J20</f>
        <v>22.315999999999999</v>
      </c>
      <c r="C21" s="102">
        <v>660</v>
      </c>
      <c r="D21" s="100">
        <v>0</v>
      </c>
      <c r="E21" s="102">
        <f>B21+C21+D21</f>
        <v>682.31600000000003</v>
      </c>
      <c r="F21" s="101"/>
      <c r="G21" s="102">
        <f>E21-J21-H21</f>
        <v>582.31600000000003</v>
      </c>
      <c r="H21" s="102">
        <v>60</v>
      </c>
      <c r="I21" s="102">
        <f>SUM(G21:H21)</f>
        <v>642.31600000000003</v>
      </c>
      <c r="J21" s="99">
        <v>40</v>
      </c>
      <c r="K21" s="18"/>
      <c r="L21" s="18"/>
      <c r="M21" s="18"/>
      <c r="N21" s="18"/>
      <c r="O21" s="18"/>
    </row>
    <row r="22" spans="1:15" ht="16.2">
      <c r="A22" s="55" t="s">
        <v>84</v>
      </c>
      <c r="B22" s="18"/>
      <c r="C22" s="94"/>
      <c r="D22" s="94"/>
      <c r="E22" s="94"/>
      <c r="F22" s="94"/>
      <c r="G22" s="94"/>
      <c r="H22" s="94"/>
      <c r="I22" s="18"/>
      <c r="J22" s="18"/>
      <c r="K22" s="18"/>
      <c r="L22" s="18"/>
      <c r="M22" s="18"/>
      <c r="N22" s="18"/>
      <c r="O22" s="18"/>
    </row>
    <row r="23" spans="1:15" ht="14.4">
      <c r="A23" s="18" t="s">
        <v>89</v>
      </c>
      <c r="B23" s="97"/>
      <c r="C23" s="97"/>
      <c r="D23" s="97"/>
      <c r="E23" s="97"/>
      <c r="F23" s="97"/>
      <c r="G23" s="97"/>
      <c r="H23" s="97"/>
      <c r="I23" s="18"/>
      <c r="J23" s="18"/>
      <c r="K23" s="18"/>
      <c r="L23" s="18"/>
      <c r="M23" s="18"/>
      <c r="N23" s="18"/>
      <c r="O23" s="18"/>
    </row>
    <row r="24" spans="1:15" ht="13.8">
      <c r="A24" s="22"/>
      <c r="B24" s="37"/>
      <c r="C24" s="37"/>
      <c r="D24" s="37"/>
      <c r="E24" s="37"/>
      <c r="F24" s="37"/>
      <c r="G24" s="37"/>
      <c r="H24" s="37"/>
      <c r="I24" s="18"/>
      <c r="J24" s="18"/>
      <c r="K24" s="18"/>
      <c r="L24" s="18"/>
      <c r="M24" s="18"/>
      <c r="N24" s="18"/>
      <c r="O24" s="18"/>
    </row>
    <row r="25" spans="1:15" ht="13.8">
      <c r="A25" s="22"/>
      <c r="B25" s="37"/>
      <c r="C25" s="43"/>
      <c r="D25" s="37"/>
      <c r="E25" s="37"/>
      <c r="F25" s="37"/>
      <c r="G25" s="37"/>
      <c r="H25" s="37"/>
      <c r="I25" s="18"/>
      <c r="J25" s="18"/>
      <c r="K25" s="18"/>
      <c r="L25" s="18"/>
      <c r="M25" s="18"/>
      <c r="N25" s="18"/>
      <c r="O25" s="18"/>
    </row>
    <row r="26" spans="1:15" ht="13.8">
      <c r="A26" s="16" t="s">
        <v>6</v>
      </c>
      <c r="B26" s="16"/>
      <c r="C26" s="16"/>
      <c r="D26" s="16"/>
      <c r="E26" s="16"/>
      <c r="F26" s="16"/>
      <c r="G26" s="16"/>
      <c r="H26" s="16"/>
      <c r="I26" s="18"/>
      <c r="J26" s="16"/>
      <c r="K26" s="18"/>
      <c r="L26" s="18"/>
      <c r="M26" s="18"/>
      <c r="N26" s="18"/>
      <c r="O26" s="18"/>
    </row>
    <row r="27" spans="1:15" ht="13.8">
      <c r="A27" s="18"/>
      <c r="B27" s="167" t="s">
        <v>57</v>
      </c>
      <c r="C27" s="167"/>
      <c r="D27" s="167"/>
      <c r="E27" s="167"/>
      <c r="F27" s="18"/>
      <c r="G27" s="167" t="s">
        <v>58</v>
      </c>
      <c r="H27" s="167"/>
      <c r="I27" s="167"/>
      <c r="J27" s="18"/>
      <c r="K27" s="18"/>
      <c r="L27" s="18"/>
      <c r="M27" s="18"/>
      <c r="N27" s="18"/>
      <c r="O27" s="18"/>
    </row>
    <row r="28" spans="1:15" ht="13.8">
      <c r="A28" s="18" t="s">
        <v>17</v>
      </c>
      <c r="B28" s="20" t="s">
        <v>69</v>
      </c>
      <c r="C28" s="24"/>
      <c r="D28" s="24"/>
      <c r="E28" s="24"/>
      <c r="F28" s="24"/>
      <c r="G28" s="24"/>
      <c r="H28" s="24"/>
      <c r="I28" s="24"/>
      <c r="J28" s="20" t="s">
        <v>59</v>
      </c>
      <c r="K28" s="18"/>
      <c r="L28" s="18"/>
      <c r="M28" s="18"/>
      <c r="N28" s="18"/>
      <c r="O28" s="18"/>
    </row>
    <row r="29" spans="1:15" ht="13.8">
      <c r="A29" s="25" t="s">
        <v>60</v>
      </c>
      <c r="B29" s="27" t="s">
        <v>61</v>
      </c>
      <c r="C29" s="27" t="s">
        <v>26</v>
      </c>
      <c r="D29" s="29" t="s">
        <v>70</v>
      </c>
      <c r="E29" s="27" t="s">
        <v>82</v>
      </c>
      <c r="F29" s="28"/>
      <c r="G29" s="27" t="s">
        <v>63</v>
      </c>
      <c r="H29" s="27" t="s">
        <v>30</v>
      </c>
      <c r="I29" s="27" t="s">
        <v>62</v>
      </c>
      <c r="J29" s="27" t="s">
        <v>65</v>
      </c>
      <c r="K29" s="18"/>
      <c r="L29" s="18"/>
      <c r="M29" s="18"/>
      <c r="N29" s="18"/>
      <c r="O29" s="18"/>
    </row>
    <row r="30" spans="1:15" ht="14.4">
      <c r="A30" s="18"/>
      <c r="B30" s="172" t="s">
        <v>90</v>
      </c>
      <c r="C30" s="172"/>
      <c r="D30" s="172"/>
      <c r="E30" s="172"/>
      <c r="F30" s="172"/>
      <c r="G30" s="172"/>
      <c r="H30" s="172"/>
      <c r="I30" s="172"/>
      <c r="J30" s="172"/>
      <c r="K30" s="18"/>
      <c r="L30" s="18"/>
      <c r="M30" s="18"/>
      <c r="N30" s="18"/>
      <c r="O30" s="18"/>
    </row>
    <row r="31" spans="1:15" ht="13.8">
      <c r="A31" s="22" t="s">
        <v>34</v>
      </c>
      <c r="B31" s="96">
        <v>44.537999999999997</v>
      </c>
      <c r="C31" s="98">
        <v>399.91800000000001</v>
      </c>
      <c r="D31" s="96">
        <v>21.365218272682</v>
      </c>
      <c r="E31" s="104">
        <f>B31+C31+D31</f>
        <v>465.82121827268202</v>
      </c>
      <c r="F31" s="97"/>
      <c r="G31" s="98">
        <f>I31-H31</f>
        <v>354.93667903513006</v>
      </c>
      <c r="H31" s="98">
        <v>62.676539237551999</v>
      </c>
      <c r="I31" s="98">
        <f>E31-J31</f>
        <v>417.61321827268205</v>
      </c>
      <c r="J31" s="98">
        <v>48.207999999999998</v>
      </c>
      <c r="K31" s="18"/>
      <c r="L31" s="18"/>
      <c r="M31" s="18"/>
      <c r="N31" s="18"/>
      <c r="O31" s="18"/>
    </row>
    <row r="32" spans="1:15" ht="16.2">
      <c r="A32" s="22" t="s">
        <v>35</v>
      </c>
      <c r="B32" s="96">
        <f>J31</f>
        <v>48.207999999999998</v>
      </c>
      <c r="C32" s="98">
        <v>430</v>
      </c>
      <c r="D32" s="96">
        <v>24.878284417651997</v>
      </c>
      <c r="E32" s="104">
        <f>B32+C32+D32</f>
        <v>503.086284417652</v>
      </c>
      <c r="F32" s="97"/>
      <c r="G32" s="98">
        <f>I32-H32</f>
        <v>325.59072038149202</v>
      </c>
      <c r="H32" s="98">
        <v>127.79756403616</v>
      </c>
      <c r="I32" s="98">
        <f>E32-J32</f>
        <v>453.38828441765202</v>
      </c>
      <c r="J32" s="98">
        <v>49.698</v>
      </c>
      <c r="K32" s="18"/>
      <c r="L32" s="18"/>
      <c r="M32" s="18"/>
      <c r="N32" s="18"/>
      <c r="O32" s="18"/>
    </row>
    <row r="33" spans="1:17" ht="16.2">
      <c r="A33" s="16" t="s">
        <v>36</v>
      </c>
      <c r="B33" s="100">
        <f>J32</f>
        <v>49.698</v>
      </c>
      <c r="C33" s="102">
        <v>400</v>
      </c>
      <c r="D33" s="100">
        <v>20</v>
      </c>
      <c r="E33" s="105">
        <f>B33+C33+D33</f>
        <v>469.69799999999998</v>
      </c>
      <c r="F33" s="101"/>
      <c r="G33" s="102">
        <f>I33-H33</f>
        <v>354.69799999999998</v>
      </c>
      <c r="H33" s="102">
        <v>65</v>
      </c>
      <c r="I33" s="102">
        <f>E33-J33</f>
        <v>419.69799999999998</v>
      </c>
      <c r="J33" s="102">
        <v>50</v>
      </c>
      <c r="K33" s="18"/>
      <c r="L33" s="18"/>
      <c r="M33" s="18"/>
      <c r="N33" s="18"/>
      <c r="O33" s="18"/>
    </row>
    <row r="34" spans="1:17" ht="16.2">
      <c r="A34" s="55" t="s">
        <v>84</v>
      </c>
      <c r="B34" s="18"/>
      <c r="C34" s="94"/>
      <c r="D34" s="94"/>
      <c r="E34" s="94"/>
      <c r="F34" s="94"/>
      <c r="G34" s="94"/>
      <c r="H34" s="94"/>
      <c r="I34" s="18"/>
      <c r="J34" s="18"/>
      <c r="K34" s="18"/>
      <c r="L34" s="18"/>
      <c r="M34" s="18"/>
      <c r="N34" s="18"/>
      <c r="O34" s="18"/>
    </row>
    <row r="35" spans="1:17" ht="14.4">
      <c r="A35" s="18" t="s">
        <v>89</v>
      </c>
      <c r="B35" s="37"/>
      <c r="C35" s="43"/>
      <c r="D35" s="37"/>
      <c r="E35" s="37"/>
      <c r="F35" s="37"/>
      <c r="G35" s="37"/>
      <c r="H35" s="37"/>
      <c r="I35" s="18"/>
      <c r="J35" s="18"/>
      <c r="K35" s="18"/>
      <c r="L35" s="18"/>
      <c r="M35" s="18"/>
      <c r="N35" s="18"/>
      <c r="O35" s="18"/>
    </row>
    <row r="36" spans="1:17" ht="13.8">
      <c r="A36" s="22"/>
      <c r="B36" s="22"/>
      <c r="C36" s="22"/>
      <c r="D36" s="22"/>
      <c r="E36" s="22"/>
      <c r="F36" s="22"/>
      <c r="G36" s="22"/>
      <c r="H36" s="22"/>
      <c r="I36" s="18"/>
      <c r="J36" s="18"/>
      <c r="K36" s="18"/>
      <c r="L36" s="18"/>
      <c r="M36" s="18"/>
      <c r="N36" s="18"/>
      <c r="O36" s="18"/>
    </row>
    <row r="37" spans="1:17" ht="13.8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7" ht="13.8">
      <c r="A38" s="16" t="s">
        <v>7</v>
      </c>
      <c r="B38" s="16"/>
      <c r="C38" s="16"/>
      <c r="D38" s="16"/>
      <c r="E38" s="16"/>
      <c r="F38" s="16"/>
      <c r="G38" s="16"/>
      <c r="H38" s="16"/>
      <c r="I38" s="16"/>
      <c r="J38" s="18"/>
      <c r="K38" s="18"/>
      <c r="L38" s="18"/>
      <c r="M38" s="18"/>
      <c r="N38" s="18"/>
      <c r="O38" s="18"/>
    </row>
    <row r="39" spans="1:17" ht="13.8">
      <c r="A39" s="18"/>
      <c r="B39" s="167" t="s">
        <v>13</v>
      </c>
      <c r="C39" s="167"/>
      <c r="D39" s="20" t="s">
        <v>14</v>
      </c>
      <c r="E39" s="167" t="s">
        <v>15</v>
      </c>
      <c r="F39" s="167"/>
      <c r="G39" s="167"/>
      <c r="H39" s="167"/>
      <c r="I39" s="18"/>
      <c r="J39" s="167" t="s">
        <v>58</v>
      </c>
      <c r="K39" s="167"/>
      <c r="L39" s="167"/>
      <c r="M39" s="167"/>
      <c r="N39" s="167"/>
      <c r="O39" s="92"/>
    </row>
    <row r="40" spans="1:17" ht="13.8">
      <c r="A40" s="18" t="s">
        <v>17</v>
      </c>
      <c r="B40" s="20" t="s">
        <v>18</v>
      </c>
      <c r="C40" s="20" t="s">
        <v>19</v>
      </c>
      <c r="D40" s="18"/>
      <c r="E40" s="20" t="s">
        <v>69</v>
      </c>
      <c r="F40" s="20"/>
      <c r="G40" s="20"/>
      <c r="H40" s="20"/>
      <c r="I40" s="18"/>
      <c r="J40" s="106" t="s">
        <v>87</v>
      </c>
      <c r="K40" s="20"/>
      <c r="L40" s="20" t="s">
        <v>22</v>
      </c>
      <c r="M40" s="20"/>
      <c r="N40" s="20"/>
      <c r="O40" s="20" t="s">
        <v>59</v>
      </c>
    </row>
    <row r="41" spans="1:17" ht="13.8">
      <c r="A41" s="25" t="s">
        <v>77</v>
      </c>
      <c r="B41" s="26"/>
      <c r="C41" s="26"/>
      <c r="D41" s="26"/>
      <c r="E41" s="27" t="s">
        <v>61</v>
      </c>
      <c r="F41" s="27" t="s">
        <v>26</v>
      </c>
      <c r="G41" s="27" t="s">
        <v>70</v>
      </c>
      <c r="H41" s="27" t="s">
        <v>82</v>
      </c>
      <c r="I41" s="27"/>
      <c r="J41" s="27" t="s">
        <v>91</v>
      </c>
      <c r="K41" s="27" t="s">
        <v>80</v>
      </c>
      <c r="L41" s="27" t="s">
        <v>29</v>
      </c>
      <c r="M41" s="29" t="s">
        <v>30</v>
      </c>
      <c r="N41" s="27" t="s">
        <v>62</v>
      </c>
      <c r="O41" s="27" t="s">
        <v>65</v>
      </c>
    </row>
    <row r="42" spans="1:17" ht="14.4">
      <c r="A42" s="18"/>
      <c r="B42" s="170" t="s">
        <v>92</v>
      </c>
      <c r="C42" s="171"/>
      <c r="D42" s="107" t="s">
        <v>93</v>
      </c>
      <c r="E42" s="173" t="s">
        <v>94</v>
      </c>
      <c r="F42" s="172"/>
      <c r="G42" s="172"/>
      <c r="H42" s="172"/>
      <c r="I42" s="172"/>
      <c r="J42" s="172"/>
      <c r="K42" s="172"/>
      <c r="L42" s="172"/>
      <c r="M42" s="172"/>
      <c r="N42" s="172"/>
      <c r="O42" s="171"/>
    </row>
    <row r="43" spans="1:17" ht="13.8">
      <c r="A43" s="18"/>
      <c r="B43" s="20"/>
      <c r="C43" s="20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7" ht="13.8">
      <c r="A44" s="22" t="s">
        <v>34</v>
      </c>
      <c r="B44" s="95">
        <v>1662.5</v>
      </c>
      <c r="C44" s="95">
        <v>1615.2</v>
      </c>
      <c r="D44" s="95">
        <f>F44*1000/C44</f>
        <v>3812.7476473501733</v>
      </c>
      <c r="E44" s="95">
        <v>2118.1880000000001</v>
      </c>
      <c r="F44" s="95">
        <v>6158.35</v>
      </c>
      <c r="G44" s="98">
        <v>121.01600000000001</v>
      </c>
      <c r="H44" s="95">
        <f>SUM(E44:G44)</f>
        <v>8397.5540000000001</v>
      </c>
      <c r="I44" s="95"/>
      <c r="J44" s="95">
        <v>3356.6</v>
      </c>
      <c r="K44" s="95">
        <v>872.91017669999985</v>
      </c>
      <c r="L44" s="98">
        <f>N44-J44-K44-M44</f>
        <v>770.55533184840169</v>
      </c>
      <c r="M44" s="98">
        <v>1429.3264914515985</v>
      </c>
      <c r="N44" s="95">
        <f>H44-O44</f>
        <v>6429.3919999999998</v>
      </c>
      <c r="O44" s="95">
        <v>1968.162</v>
      </c>
    </row>
    <row r="45" spans="1:17" ht="16.2">
      <c r="A45" s="22" t="s">
        <v>35</v>
      </c>
      <c r="B45" s="95">
        <v>1580.2</v>
      </c>
      <c r="C45" s="95">
        <v>1540.1</v>
      </c>
      <c r="D45" s="95">
        <f>F45*1000/C45</f>
        <v>4130.4662034932799</v>
      </c>
      <c r="E45" s="95">
        <f>O44</f>
        <v>1968.162</v>
      </c>
      <c r="F45" s="95">
        <v>6361.3310000000001</v>
      </c>
      <c r="G45" s="98">
        <v>107.105</v>
      </c>
      <c r="H45" s="95">
        <f>SUM(E45:G45)</f>
        <v>8436.598</v>
      </c>
      <c r="I45" s="95"/>
      <c r="J45" s="95">
        <v>3313.1</v>
      </c>
      <c r="K45" s="95">
        <v>842.43200000000002</v>
      </c>
      <c r="L45" s="98">
        <f t="shared" ref="L45:L46" si="0">N45-J45-K45-M45</f>
        <v>738.31830540849705</v>
      </c>
      <c r="M45" s="98">
        <v>1182.4906945915034</v>
      </c>
      <c r="N45" s="95">
        <f>H45-O45</f>
        <v>6076.3410000000003</v>
      </c>
      <c r="O45" s="95">
        <v>2360.2570000000001</v>
      </c>
      <c r="P45" s="132"/>
    </row>
    <row r="46" spans="1:17" ht="16.2">
      <c r="A46" s="16" t="s">
        <v>36</v>
      </c>
      <c r="B46" s="99">
        <v>1459.1</v>
      </c>
      <c r="C46" s="99">
        <v>1411.1</v>
      </c>
      <c r="D46" s="99">
        <f>F46*1000/C46</f>
        <v>4089.7172418680466</v>
      </c>
      <c r="E46" s="99">
        <f>O45</f>
        <v>2360.2570000000001</v>
      </c>
      <c r="F46" s="99">
        <v>5771</v>
      </c>
      <c r="G46" s="102">
        <v>110</v>
      </c>
      <c r="H46" s="99">
        <f>SUM(E46:G46)</f>
        <v>8241.2569999999996</v>
      </c>
      <c r="I46" s="99"/>
      <c r="J46" s="99">
        <v>3381.01</v>
      </c>
      <c r="K46" s="99">
        <v>807.94</v>
      </c>
      <c r="L46" s="102">
        <f t="shared" si="0"/>
        <v>747.60134944399988</v>
      </c>
      <c r="M46" s="102">
        <v>1200</v>
      </c>
      <c r="N46" s="99">
        <f>H46-O46</f>
        <v>6136.5513494440002</v>
      </c>
      <c r="O46" s="99">
        <v>2104.7056505559995</v>
      </c>
      <c r="P46" s="132"/>
      <c r="Q46" s="132"/>
    </row>
    <row r="47" spans="1:17" ht="16.2">
      <c r="A47" s="55" t="s">
        <v>84</v>
      </c>
      <c r="B47" s="18"/>
      <c r="C47" s="94"/>
      <c r="D47" s="94"/>
      <c r="E47" s="94"/>
      <c r="F47" s="94"/>
      <c r="G47" s="94"/>
      <c r="H47" s="94"/>
      <c r="I47" s="18"/>
      <c r="J47" s="18"/>
      <c r="K47" s="18"/>
      <c r="L47" s="18"/>
      <c r="M47" s="18"/>
      <c r="N47" s="18"/>
      <c r="O47" s="18"/>
    </row>
    <row r="48" spans="1:17" ht="14.4">
      <c r="A48" s="18" t="s">
        <v>95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ht="14.4">
      <c r="A49" s="18" t="s">
        <v>86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3.8">
      <c r="A50" s="24" t="s">
        <v>56</v>
      </c>
      <c r="B50" s="108">
        <f>Contents!A16</f>
        <v>44879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44.4" customHeight="1">
      <c r="A51" s="109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</row>
    <row r="52" spans="1:15" ht="15.6">
      <c r="G52" s="81"/>
      <c r="H52" s="81"/>
    </row>
    <row r="53" spans="1:15" ht="15.6">
      <c r="G53" s="81"/>
      <c r="H53" s="81"/>
    </row>
    <row r="54" spans="1:15" ht="15.6">
      <c r="G54" s="81"/>
      <c r="H54" s="81"/>
    </row>
  </sheetData>
  <mergeCells count="14">
    <mergeCell ref="G2:J2"/>
    <mergeCell ref="G15:I15"/>
    <mergeCell ref="B15:E15"/>
    <mergeCell ref="B2:E2"/>
    <mergeCell ref="B27:E27"/>
    <mergeCell ref="G27:I27"/>
    <mergeCell ref="B5:K5"/>
    <mergeCell ref="B39:C39"/>
    <mergeCell ref="B42:C42"/>
    <mergeCell ref="B18:J18"/>
    <mergeCell ref="E39:H39"/>
    <mergeCell ref="B30:J30"/>
    <mergeCell ref="E42:O42"/>
    <mergeCell ref="J39:N39"/>
  </mergeCells>
  <phoneticPr fontId="19" type="noConversion"/>
  <pageMargins left="0.75" right="0.75" top="1" bottom="1" header="0.5" footer="0.5"/>
  <pageSetup scale="56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H38"/>
  <sheetViews>
    <sheetView showGridLines="0" zoomScale="70" zoomScaleNormal="70" workbookViewId="0"/>
  </sheetViews>
  <sheetFormatPr defaultColWidth="9.109375" defaultRowHeight="13.2"/>
  <cols>
    <col min="1" max="1" width="11.6640625" style="17" customWidth="1"/>
    <col min="2" max="2" width="18.88671875" style="17" bestFit="1" customWidth="1"/>
    <col min="3" max="3" width="22.109375" style="17" bestFit="1" customWidth="1"/>
    <col min="4" max="5" width="25.6640625" style="17" bestFit="1" customWidth="1"/>
    <col min="6" max="6" width="16.6640625" style="17" bestFit="1" customWidth="1"/>
    <col min="7" max="7" width="18.88671875" style="17" bestFit="1" customWidth="1"/>
    <col min="8" max="16384" width="9.109375" style="17"/>
  </cols>
  <sheetData>
    <row r="1" spans="1:8" ht="15.6" customHeight="1">
      <c r="A1" s="16" t="s">
        <v>8</v>
      </c>
      <c r="B1" s="16"/>
      <c r="C1" s="16"/>
      <c r="D1" s="16"/>
      <c r="E1" s="16"/>
      <c r="F1" s="16"/>
      <c r="G1" s="16"/>
      <c r="H1" s="56"/>
    </row>
    <row r="2" spans="1:8" ht="15.6" customHeight="1">
      <c r="A2" s="22" t="s">
        <v>96</v>
      </c>
      <c r="B2" s="39" t="s">
        <v>97</v>
      </c>
      <c r="C2" s="39" t="s">
        <v>98</v>
      </c>
      <c r="D2" s="39" t="s">
        <v>99</v>
      </c>
      <c r="E2" s="39" t="s">
        <v>100</v>
      </c>
      <c r="F2" s="39" t="s">
        <v>101</v>
      </c>
      <c r="G2" s="39" t="s">
        <v>102</v>
      </c>
      <c r="H2" s="56"/>
    </row>
    <row r="3" spans="1:8" ht="15.6" customHeight="1">
      <c r="A3" s="16" t="s">
        <v>103</v>
      </c>
      <c r="B3" s="28"/>
      <c r="C3" s="62"/>
      <c r="D3" s="62"/>
      <c r="E3" s="62"/>
      <c r="F3" s="62"/>
      <c r="G3" s="62"/>
      <c r="H3" s="56"/>
    </row>
    <row r="4" spans="1:8" ht="14.4">
      <c r="A4" s="63"/>
      <c r="B4" s="64" t="s">
        <v>104</v>
      </c>
      <c r="C4" s="64" t="s">
        <v>105</v>
      </c>
      <c r="D4" s="64" t="s">
        <v>106</v>
      </c>
      <c r="E4" s="64" t="s">
        <v>106</v>
      </c>
      <c r="F4" s="64" t="s">
        <v>107</v>
      </c>
      <c r="G4" s="64" t="s">
        <v>104</v>
      </c>
      <c r="H4" s="56"/>
    </row>
    <row r="5" spans="1:8" ht="13.8">
      <c r="A5" s="18"/>
      <c r="B5" s="18"/>
      <c r="C5" s="18"/>
      <c r="D5" s="20"/>
      <c r="E5" s="18"/>
      <c r="F5" s="18"/>
      <c r="G5" s="18"/>
      <c r="H5" s="56"/>
    </row>
    <row r="6" spans="1:8" ht="13.8">
      <c r="A6" s="18" t="s">
        <v>108</v>
      </c>
      <c r="B6" s="65">
        <v>11.3</v>
      </c>
      <c r="C6" s="65">
        <v>161</v>
      </c>
      <c r="D6" s="65">
        <v>23.3</v>
      </c>
      <c r="E6" s="65">
        <v>19.3</v>
      </c>
      <c r="F6" s="65">
        <v>22.5</v>
      </c>
      <c r="G6" s="65">
        <v>12.2</v>
      </c>
      <c r="H6" s="56"/>
    </row>
    <row r="7" spans="1:8" ht="13.8">
      <c r="A7" s="18" t="s">
        <v>109</v>
      </c>
      <c r="B7" s="65">
        <v>12.5</v>
      </c>
      <c r="C7" s="65">
        <v>260</v>
      </c>
      <c r="D7" s="65">
        <v>29.1</v>
      </c>
      <c r="E7" s="65">
        <v>24</v>
      </c>
      <c r="F7" s="65">
        <v>31.8</v>
      </c>
      <c r="G7" s="65">
        <v>13.9</v>
      </c>
      <c r="H7" s="56"/>
    </row>
    <row r="8" spans="1:8" ht="13.8">
      <c r="A8" s="18" t="s">
        <v>110</v>
      </c>
      <c r="B8" s="65">
        <v>14.4</v>
      </c>
      <c r="C8" s="65">
        <v>252</v>
      </c>
      <c r="D8" s="65">
        <v>25.4</v>
      </c>
      <c r="E8" s="65">
        <v>26.5</v>
      </c>
      <c r="F8" s="65">
        <v>30.1</v>
      </c>
      <c r="G8" s="65">
        <v>13.8</v>
      </c>
      <c r="H8" s="56"/>
    </row>
    <row r="9" spans="1:8" ht="13.8">
      <c r="A9" s="18" t="s">
        <v>111</v>
      </c>
      <c r="B9" s="65">
        <v>13</v>
      </c>
      <c r="C9" s="65">
        <v>246</v>
      </c>
      <c r="D9" s="65">
        <v>21.4</v>
      </c>
      <c r="E9" s="65">
        <v>20.6</v>
      </c>
      <c r="F9" s="65">
        <v>24.9</v>
      </c>
      <c r="G9" s="65">
        <v>13.8</v>
      </c>
      <c r="H9" s="56"/>
    </row>
    <row r="10" spans="1:8" ht="13.8">
      <c r="A10" s="18" t="s">
        <v>112</v>
      </c>
      <c r="B10" s="65">
        <v>10.1</v>
      </c>
      <c r="C10" s="65">
        <v>194</v>
      </c>
      <c r="D10" s="65">
        <v>21.7</v>
      </c>
      <c r="E10" s="65">
        <v>16.899999999999999</v>
      </c>
      <c r="F10" s="65">
        <v>22</v>
      </c>
      <c r="G10" s="65">
        <v>11.8</v>
      </c>
      <c r="H10" s="56"/>
    </row>
    <row r="11" spans="1:8" ht="13.8">
      <c r="A11" s="18" t="s">
        <v>113</v>
      </c>
      <c r="B11" s="65">
        <v>8.9499999999999993</v>
      </c>
      <c r="C11" s="65">
        <v>227</v>
      </c>
      <c r="D11" s="65">
        <v>19.600000000000001</v>
      </c>
      <c r="E11" s="65">
        <v>15.6</v>
      </c>
      <c r="F11" s="65">
        <v>19.3</v>
      </c>
      <c r="G11" s="65">
        <v>8.9499999999999993</v>
      </c>
      <c r="H11" s="56"/>
    </row>
    <row r="12" spans="1:8" ht="13.8">
      <c r="A12" s="18" t="s">
        <v>114</v>
      </c>
      <c r="B12" s="65">
        <v>9.4700000000000006</v>
      </c>
      <c r="C12" s="65">
        <v>195</v>
      </c>
      <c r="D12" s="65">
        <v>17.399999999999999</v>
      </c>
      <c r="E12" s="65">
        <v>16.600000000000001</v>
      </c>
      <c r="F12" s="65">
        <v>19.7</v>
      </c>
      <c r="G12" s="65">
        <v>8</v>
      </c>
      <c r="H12" s="56"/>
    </row>
    <row r="13" spans="1:8" ht="13.8">
      <c r="A13" s="18" t="s">
        <v>115</v>
      </c>
      <c r="B13" s="65">
        <v>9.33</v>
      </c>
      <c r="C13" s="65">
        <v>142</v>
      </c>
      <c r="D13" s="65">
        <v>17.2</v>
      </c>
      <c r="E13" s="65">
        <v>17.5</v>
      </c>
      <c r="F13" s="65">
        <v>22.9</v>
      </c>
      <c r="G13" s="65">
        <v>9.5299999999999994</v>
      </c>
      <c r="H13" s="56"/>
    </row>
    <row r="14" spans="1:8" ht="13.8">
      <c r="A14" s="18" t="s">
        <v>116</v>
      </c>
      <c r="B14" s="65">
        <v>8.48</v>
      </c>
      <c r="C14" s="65">
        <v>155</v>
      </c>
      <c r="D14" s="65">
        <v>17.399999999999999</v>
      </c>
      <c r="E14" s="65">
        <v>15.8</v>
      </c>
      <c r="F14" s="65">
        <v>21.5</v>
      </c>
      <c r="G14" s="65">
        <v>9.89</v>
      </c>
      <c r="H14" s="56"/>
    </row>
    <row r="15" spans="1:8" ht="13.8">
      <c r="A15" s="18" t="s">
        <v>117</v>
      </c>
      <c r="B15" s="65">
        <v>8.57</v>
      </c>
      <c r="C15" s="65">
        <v>161</v>
      </c>
      <c r="D15" s="65">
        <v>19.5</v>
      </c>
      <c r="E15" s="65">
        <v>14.8</v>
      </c>
      <c r="F15" s="65">
        <v>20.5</v>
      </c>
      <c r="G15" s="65">
        <v>9.15</v>
      </c>
      <c r="H15" s="56"/>
    </row>
    <row r="16" spans="1:8" ht="13.8">
      <c r="A16" s="18" t="s">
        <v>34</v>
      </c>
      <c r="B16" s="65">
        <v>10.8</v>
      </c>
      <c r="C16" s="65">
        <v>194</v>
      </c>
      <c r="D16" s="65">
        <v>21.3</v>
      </c>
      <c r="E16" s="65">
        <v>18.400000000000002</v>
      </c>
      <c r="F16" s="65">
        <v>21</v>
      </c>
      <c r="G16" s="65">
        <v>11.1</v>
      </c>
      <c r="H16" s="56"/>
    </row>
    <row r="17" spans="1:8" ht="16.2">
      <c r="A17" s="18" t="s">
        <v>118</v>
      </c>
      <c r="B17" s="65">
        <v>13.3</v>
      </c>
      <c r="C17" s="65">
        <v>243</v>
      </c>
      <c r="D17" s="65">
        <v>32.9</v>
      </c>
      <c r="E17" s="65">
        <v>32.9</v>
      </c>
      <c r="F17" s="65">
        <v>24.3</v>
      </c>
      <c r="G17" s="65">
        <v>25.9</v>
      </c>
      <c r="H17" s="56"/>
    </row>
    <row r="18" spans="1:8" ht="16.2">
      <c r="A18" s="18" t="s">
        <v>119</v>
      </c>
      <c r="B18" s="65">
        <v>14</v>
      </c>
      <c r="C18" s="65">
        <v>340</v>
      </c>
      <c r="D18" s="65">
        <v>33.300000000000004</v>
      </c>
      <c r="E18" s="65">
        <v>32</v>
      </c>
      <c r="F18" s="65">
        <v>26.5</v>
      </c>
      <c r="G18" s="65">
        <v>21.5</v>
      </c>
      <c r="H18" s="56"/>
    </row>
    <row r="19" spans="1:8" ht="13.8">
      <c r="A19" s="22"/>
      <c r="B19" s="66"/>
      <c r="C19" s="67"/>
      <c r="D19" s="68"/>
      <c r="E19" s="68"/>
      <c r="F19" s="69"/>
      <c r="G19" s="70"/>
      <c r="H19" s="57"/>
    </row>
    <row r="20" spans="1:8" ht="13.8">
      <c r="A20" s="71" t="s">
        <v>53</v>
      </c>
      <c r="B20" s="65"/>
      <c r="C20" s="65"/>
      <c r="D20" s="65"/>
      <c r="E20" s="65"/>
      <c r="F20" s="65"/>
      <c r="G20" s="65"/>
    </row>
    <row r="21" spans="1:8" ht="13.8">
      <c r="A21" s="22" t="s">
        <v>37</v>
      </c>
      <c r="B21" s="65">
        <v>12.2</v>
      </c>
      <c r="C21" s="65">
        <v>235</v>
      </c>
      <c r="D21" s="65">
        <v>30.7</v>
      </c>
      <c r="E21" s="65">
        <v>28.7</v>
      </c>
      <c r="F21" s="65">
        <v>22.2</v>
      </c>
      <c r="G21" s="65">
        <v>19.8</v>
      </c>
    </row>
    <row r="22" spans="1:8" ht="13.8">
      <c r="A22" s="22" t="s">
        <v>38</v>
      </c>
      <c r="B22" s="65">
        <v>11.9</v>
      </c>
      <c r="C22" s="65">
        <v>244</v>
      </c>
      <c r="D22" s="65">
        <v>30.5</v>
      </c>
      <c r="E22" s="65">
        <v>29.6</v>
      </c>
      <c r="F22" s="65">
        <v>23.9</v>
      </c>
      <c r="G22" s="65">
        <v>26.2</v>
      </c>
    </row>
    <row r="23" spans="1:8" ht="13.8">
      <c r="A23" s="22" t="s">
        <v>39</v>
      </c>
      <c r="B23" s="65">
        <v>12.1</v>
      </c>
      <c r="C23" s="65">
        <v>244</v>
      </c>
      <c r="D23" s="65">
        <v>30.3</v>
      </c>
      <c r="E23" s="65">
        <v>31.7</v>
      </c>
      <c r="F23" s="65">
        <v>25.4</v>
      </c>
      <c r="G23" s="65">
        <v>26.1</v>
      </c>
    </row>
    <row r="24" spans="1:8" ht="13.8">
      <c r="A24" s="22" t="s">
        <v>41</v>
      </c>
      <c r="B24" s="65">
        <v>12.5</v>
      </c>
      <c r="C24" s="65">
        <v>239</v>
      </c>
      <c r="D24" s="65">
        <v>31.6</v>
      </c>
      <c r="E24" s="65">
        <v>32.5</v>
      </c>
      <c r="F24" s="65">
        <v>24.1</v>
      </c>
      <c r="G24" s="65">
        <v>31.3</v>
      </c>
    </row>
    <row r="25" spans="1:8" ht="13.8">
      <c r="A25" s="22" t="s">
        <v>42</v>
      </c>
      <c r="B25" s="65">
        <v>12.9</v>
      </c>
      <c r="C25" s="65">
        <v>241</v>
      </c>
      <c r="D25" s="65">
        <v>31</v>
      </c>
      <c r="E25" s="65">
        <v>33.700000000000003</v>
      </c>
      <c r="F25" s="65">
        <v>25.9</v>
      </c>
      <c r="G25" s="65">
        <v>31</v>
      </c>
    </row>
    <row r="26" spans="1:8" ht="13.8">
      <c r="A26" s="22" t="s">
        <v>43</v>
      </c>
      <c r="B26" s="65">
        <v>14.7</v>
      </c>
      <c r="C26" s="65">
        <v>255</v>
      </c>
      <c r="D26" s="65">
        <v>32.200000000000003</v>
      </c>
      <c r="E26" s="65">
        <v>37.5</v>
      </c>
      <c r="F26" s="65">
        <v>24.8</v>
      </c>
      <c r="G26" s="65">
        <v>27.5</v>
      </c>
    </row>
    <row r="27" spans="1:8" ht="13.8">
      <c r="A27" s="22" t="s">
        <v>45</v>
      </c>
      <c r="B27" s="65">
        <v>15.4</v>
      </c>
      <c r="C27" s="65" t="s">
        <v>75</v>
      </c>
      <c r="D27" s="65">
        <v>33.9</v>
      </c>
      <c r="E27" s="65">
        <v>39.200000000000003</v>
      </c>
      <c r="F27" s="65">
        <v>25</v>
      </c>
      <c r="G27" s="65">
        <v>28.9</v>
      </c>
    </row>
    <row r="28" spans="1:8" ht="13.8">
      <c r="A28" s="22" t="s">
        <v>46</v>
      </c>
      <c r="B28" s="65">
        <v>15.8</v>
      </c>
      <c r="C28" s="65" t="s">
        <v>75</v>
      </c>
      <c r="D28" s="65">
        <v>37.1</v>
      </c>
      <c r="E28" s="65">
        <v>41.3</v>
      </c>
      <c r="F28" s="65">
        <v>24.8</v>
      </c>
      <c r="G28" s="65">
        <v>30.2</v>
      </c>
    </row>
    <row r="29" spans="1:8" ht="13.8">
      <c r="A29" s="22" t="s">
        <v>47</v>
      </c>
      <c r="B29" s="65">
        <v>16.100000000000001</v>
      </c>
      <c r="C29" s="65" t="s">
        <v>75</v>
      </c>
      <c r="D29" s="65">
        <v>40.1</v>
      </c>
      <c r="E29" s="65">
        <v>42.9</v>
      </c>
      <c r="F29" s="65">
        <v>25.3</v>
      </c>
      <c r="G29" s="65">
        <v>29.7</v>
      </c>
    </row>
    <row r="30" spans="1:8" ht="13.8">
      <c r="A30" s="22" t="s">
        <v>49</v>
      </c>
      <c r="B30" s="65">
        <v>16.399999999999999</v>
      </c>
      <c r="C30" s="65" t="s">
        <v>75</v>
      </c>
      <c r="D30" s="65">
        <v>40.200000000000003</v>
      </c>
      <c r="E30" s="65">
        <v>45.6</v>
      </c>
      <c r="F30" s="65">
        <v>25.2</v>
      </c>
      <c r="G30" s="65">
        <v>23.9</v>
      </c>
    </row>
    <row r="31" spans="1:8" ht="13.8">
      <c r="A31" s="22" t="s">
        <v>50</v>
      </c>
      <c r="B31" s="65">
        <v>15.5</v>
      </c>
      <c r="C31" s="65">
        <v>360</v>
      </c>
      <c r="D31" s="65">
        <v>36.200000000000003</v>
      </c>
      <c r="E31" s="65">
        <v>42.7</v>
      </c>
      <c r="F31" s="65">
        <v>25.3</v>
      </c>
      <c r="G31" s="65">
        <v>24.2</v>
      </c>
    </row>
    <row r="32" spans="1:8" ht="13.8">
      <c r="A32" s="22" t="s">
        <v>51</v>
      </c>
      <c r="B32" s="65">
        <f>15.3</f>
        <v>15.3</v>
      </c>
      <c r="C32" s="65">
        <f>343</f>
        <v>343</v>
      </c>
      <c r="D32" s="65">
        <f>37.8</f>
        <v>37.799999999999997</v>
      </c>
      <c r="E32" s="65">
        <f>40</f>
        <v>40</v>
      </c>
      <c r="F32" s="65">
        <f>25</f>
        <v>25</v>
      </c>
      <c r="G32" s="65">
        <f>20.8</f>
        <v>20.8</v>
      </c>
    </row>
    <row r="33" spans="1:7" ht="13.8">
      <c r="A33" s="22"/>
      <c r="B33" s="65"/>
      <c r="C33" s="65"/>
      <c r="D33" s="65"/>
      <c r="E33" s="65"/>
      <c r="F33" s="65"/>
      <c r="G33" s="65"/>
    </row>
    <row r="34" spans="1:7" ht="13.8">
      <c r="A34" s="141" t="s">
        <v>156</v>
      </c>
      <c r="B34" s="65"/>
      <c r="C34" s="65"/>
      <c r="D34" s="65"/>
      <c r="E34" s="65"/>
      <c r="F34" s="65"/>
      <c r="G34" s="65"/>
    </row>
    <row r="35" spans="1:7" ht="13.8">
      <c r="A35" s="16" t="s">
        <v>37</v>
      </c>
      <c r="B35" s="15">
        <v>14.1</v>
      </c>
      <c r="C35" s="15">
        <v>361</v>
      </c>
      <c r="D35" s="15">
        <v>32.9</v>
      </c>
      <c r="E35" s="15">
        <v>28.1</v>
      </c>
      <c r="F35" s="15">
        <v>25.7</v>
      </c>
      <c r="G35" s="15">
        <v>18.899999999999999</v>
      </c>
    </row>
    <row r="36" spans="1:7" ht="16.2">
      <c r="A36" s="18" t="s">
        <v>120</v>
      </c>
      <c r="B36" s="18"/>
      <c r="C36" s="18"/>
      <c r="D36" s="18"/>
      <c r="E36" s="18"/>
      <c r="F36" s="18"/>
      <c r="G36" s="18"/>
    </row>
    <row r="37" spans="1:7" ht="14.4">
      <c r="A37" s="18" t="s">
        <v>121</v>
      </c>
      <c r="B37" s="18"/>
      <c r="C37" s="18"/>
      <c r="D37" s="18"/>
      <c r="E37" s="18"/>
      <c r="F37" s="18"/>
      <c r="G37" s="18"/>
    </row>
    <row r="38" spans="1:7" ht="13.8">
      <c r="A38" s="24" t="s">
        <v>56</v>
      </c>
      <c r="B38" s="47">
        <f>Contents!A16</f>
        <v>44879</v>
      </c>
      <c r="C38" s="18"/>
      <c r="D38" s="18"/>
      <c r="E38" s="18"/>
      <c r="F38" s="18"/>
      <c r="G38" s="18"/>
    </row>
  </sheetData>
  <phoneticPr fontId="19" type="noConversion"/>
  <pageMargins left="0.75" right="0.75" top="1" bottom="1" header="0.5" footer="0.5"/>
  <pageSetup scale="65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L59"/>
  <sheetViews>
    <sheetView showGridLines="0" zoomScale="70" zoomScaleNormal="70" workbookViewId="0"/>
  </sheetViews>
  <sheetFormatPr defaultColWidth="9.109375" defaultRowHeight="13.2"/>
  <cols>
    <col min="1" max="2" width="11.6640625" style="17" customWidth="1"/>
    <col min="3" max="3" width="11.5546875" style="17" customWidth="1"/>
    <col min="4" max="4" width="13.6640625" style="17" customWidth="1"/>
    <col min="5" max="5" width="11.6640625" style="17" customWidth="1"/>
    <col min="6" max="6" width="11.5546875" style="17" bestFit="1" customWidth="1"/>
    <col min="7" max="7" width="10.6640625" style="17" customWidth="1"/>
    <col min="8" max="8" width="12" style="17" customWidth="1"/>
    <col min="9" max="9" width="13.44140625" style="17" customWidth="1"/>
    <col min="10" max="16384" width="9.109375" style="17"/>
  </cols>
  <sheetData>
    <row r="1" spans="1:12" ht="13.8">
      <c r="A1" s="16" t="s">
        <v>9</v>
      </c>
      <c r="B1" s="16"/>
      <c r="C1" s="16"/>
      <c r="D1" s="16"/>
      <c r="E1" s="16"/>
      <c r="F1" s="16"/>
      <c r="G1" s="16"/>
      <c r="H1" s="16"/>
      <c r="I1" s="18"/>
    </row>
    <row r="2" spans="1:12" ht="15.6" customHeight="1">
      <c r="A2" s="72" t="s">
        <v>96</v>
      </c>
      <c r="B2" s="39" t="s">
        <v>122</v>
      </c>
      <c r="C2" s="39" t="s">
        <v>123</v>
      </c>
      <c r="D2" s="39" t="s">
        <v>124</v>
      </c>
      <c r="E2" s="73" t="s">
        <v>125</v>
      </c>
      <c r="F2" s="73" t="s">
        <v>126</v>
      </c>
      <c r="G2" s="39" t="s">
        <v>127</v>
      </c>
      <c r="H2" s="39" t="s">
        <v>128</v>
      </c>
      <c r="I2" s="74" t="s">
        <v>129</v>
      </c>
    </row>
    <row r="3" spans="1:12" ht="15.6" customHeight="1">
      <c r="A3" s="75" t="s">
        <v>103</v>
      </c>
      <c r="B3" s="27" t="s">
        <v>130</v>
      </c>
      <c r="C3" s="27" t="s">
        <v>131</v>
      </c>
      <c r="D3" s="27" t="s">
        <v>132</v>
      </c>
      <c r="E3" s="27" t="s">
        <v>132</v>
      </c>
      <c r="F3" s="27" t="s">
        <v>133</v>
      </c>
      <c r="G3" s="27" t="s">
        <v>134</v>
      </c>
      <c r="H3" s="27"/>
      <c r="I3" s="27" t="s">
        <v>135</v>
      </c>
    </row>
    <row r="4" spans="1:12" ht="14.4">
      <c r="A4" s="76" t="s">
        <v>136</v>
      </c>
      <c r="C4" s="77"/>
      <c r="D4" s="77"/>
      <c r="E4" s="77"/>
      <c r="F4" s="77"/>
      <c r="G4" s="77"/>
      <c r="H4" s="77"/>
      <c r="I4" s="77"/>
    </row>
    <row r="5" spans="1:12" ht="13.8">
      <c r="A5" s="18"/>
      <c r="B5" s="18"/>
      <c r="C5" s="18"/>
      <c r="D5" s="18"/>
      <c r="E5" s="18"/>
      <c r="F5" s="18"/>
      <c r="G5" s="18"/>
      <c r="H5" s="18"/>
      <c r="I5" s="18"/>
    </row>
    <row r="6" spans="1:12" ht="13.8">
      <c r="A6" s="18" t="s">
        <v>108</v>
      </c>
      <c r="B6" s="65">
        <v>53.2</v>
      </c>
      <c r="C6" s="65">
        <v>54.5</v>
      </c>
      <c r="D6" s="65">
        <v>86.12</v>
      </c>
      <c r="E6" s="65">
        <v>58.68</v>
      </c>
      <c r="F6" s="65">
        <v>77.239999999999995</v>
      </c>
      <c r="G6" s="65">
        <v>60.76</v>
      </c>
      <c r="H6" s="65">
        <v>51.52</v>
      </c>
      <c r="I6" s="65">
        <v>51.34</v>
      </c>
      <c r="K6" s="82"/>
      <c r="L6" s="82"/>
    </row>
    <row r="7" spans="1:12" ht="13.8">
      <c r="A7" s="18" t="s">
        <v>109</v>
      </c>
      <c r="B7" s="65">
        <v>51.9</v>
      </c>
      <c r="C7" s="65">
        <v>53.22</v>
      </c>
      <c r="D7" s="65">
        <v>83.2</v>
      </c>
      <c r="E7" s="65">
        <v>57.19</v>
      </c>
      <c r="F7" s="65">
        <v>100.15</v>
      </c>
      <c r="G7" s="65">
        <v>56.09</v>
      </c>
      <c r="H7" s="65">
        <v>48.11</v>
      </c>
      <c r="I7" s="65">
        <v>50.33</v>
      </c>
      <c r="K7" s="82"/>
      <c r="L7" s="82"/>
    </row>
    <row r="8" spans="1:12" ht="13.8">
      <c r="A8" s="18" t="s">
        <v>110</v>
      </c>
      <c r="B8" s="65">
        <v>47.13</v>
      </c>
      <c r="C8" s="65">
        <v>48.6</v>
      </c>
      <c r="D8" s="65">
        <v>65.87</v>
      </c>
      <c r="E8" s="65">
        <v>56.17</v>
      </c>
      <c r="F8" s="65">
        <v>91.83</v>
      </c>
      <c r="G8" s="65">
        <v>46.66</v>
      </c>
      <c r="H8" s="65">
        <v>51.8</v>
      </c>
      <c r="I8" s="65">
        <v>43.24</v>
      </c>
      <c r="K8" s="82"/>
      <c r="L8" s="82"/>
    </row>
    <row r="9" spans="1:12" ht="13.8">
      <c r="A9" s="18" t="s">
        <v>111</v>
      </c>
      <c r="B9" s="65">
        <v>38.229999999999997</v>
      </c>
      <c r="C9" s="65">
        <v>60.66</v>
      </c>
      <c r="D9" s="65">
        <v>59.12</v>
      </c>
      <c r="E9" s="65">
        <v>43.7</v>
      </c>
      <c r="F9" s="65">
        <v>68.23</v>
      </c>
      <c r="G9" s="65">
        <v>39.43</v>
      </c>
      <c r="H9" s="65">
        <v>43.93</v>
      </c>
      <c r="I9" s="65">
        <v>39.76</v>
      </c>
      <c r="K9" s="82"/>
      <c r="L9" s="82"/>
    </row>
    <row r="10" spans="1:12" ht="13.8">
      <c r="A10" s="18" t="s">
        <v>112</v>
      </c>
      <c r="B10" s="65">
        <v>31.6</v>
      </c>
      <c r="C10" s="65">
        <v>45.74</v>
      </c>
      <c r="D10" s="65">
        <v>66.72</v>
      </c>
      <c r="E10" s="65">
        <v>37.81</v>
      </c>
      <c r="F10" s="65">
        <v>57.96</v>
      </c>
      <c r="G10" s="65">
        <v>37.479999999999997</v>
      </c>
      <c r="H10" s="65">
        <v>33.43</v>
      </c>
      <c r="I10" s="65">
        <v>31.36</v>
      </c>
      <c r="K10" s="82"/>
      <c r="L10" s="82"/>
    </row>
    <row r="11" spans="1:12" ht="13.8">
      <c r="A11" s="18" t="s">
        <v>113</v>
      </c>
      <c r="B11" s="65">
        <v>29.86</v>
      </c>
      <c r="C11" s="65">
        <v>45.87</v>
      </c>
      <c r="D11" s="65">
        <v>57.81</v>
      </c>
      <c r="E11" s="65">
        <v>35.270000000000003</v>
      </c>
      <c r="F11" s="65">
        <v>58.26</v>
      </c>
      <c r="G11" s="65">
        <v>39.25</v>
      </c>
      <c r="H11" s="65">
        <v>32.229999999999997</v>
      </c>
      <c r="I11" s="65">
        <v>30.07</v>
      </c>
      <c r="K11" s="82"/>
      <c r="L11" s="82"/>
    </row>
    <row r="12" spans="1:12" ht="13.8">
      <c r="A12" s="18" t="s">
        <v>114</v>
      </c>
      <c r="B12" s="65">
        <v>32.549999999999997</v>
      </c>
      <c r="C12" s="65">
        <v>40.92</v>
      </c>
      <c r="D12" s="65">
        <v>53.54</v>
      </c>
      <c r="E12" s="65">
        <v>38.729999999999997</v>
      </c>
      <c r="F12" s="65">
        <v>66.73</v>
      </c>
      <c r="G12" s="65">
        <v>37.43</v>
      </c>
      <c r="H12" s="65">
        <v>33.07</v>
      </c>
      <c r="I12" s="65">
        <v>34.75</v>
      </c>
      <c r="K12" s="82"/>
      <c r="L12" s="82"/>
    </row>
    <row r="13" spans="1:12" ht="13.8">
      <c r="A13" s="18" t="s">
        <v>115</v>
      </c>
      <c r="B13" s="65">
        <v>30.04</v>
      </c>
      <c r="C13" s="65">
        <v>31.87</v>
      </c>
      <c r="D13" s="65">
        <v>54.57</v>
      </c>
      <c r="E13" s="65">
        <v>38.270000000000003</v>
      </c>
      <c r="F13" s="65">
        <v>66.72</v>
      </c>
      <c r="G13" s="65">
        <v>30.35</v>
      </c>
      <c r="H13" s="65">
        <v>34.159999999999997</v>
      </c>
      <c r="I13" s="65">
        <v>31.21</v>
      </c>
      <c r="K13" s="82"/>
      <c r="L13" s="82"/>
    </row>
    <row r="14" spans="1:12" ht="13.8">
      <c r="A14" s="18" t="s">
        <v>116</v>
      </c>
      <c r="B14" s="65">
        <v>28.26</v>
      </c>
      <c r="C14" s="65">
        <v>35.14</v>
      </c>
      <c r="D14" s="65">
        <v>53.28</v>
      </c>
      <c r="E14" s="65">
        <v>36.090000000000003</v>
      </c>
      <c r="F14" s="65">
        <v>64.72</v>
      </c>
      <c r="G14" s="65">
        <v>26.93</v>
      </c>
      <c r="H14" s="65">
        <v>31.65</v>
      </c>
      <c r="I14" s="65">
        <v>33.11</v>
      </c>
      <c r="K14" s="82"/>
      <c r="L14" s="82"/>
    </row>
    <row r="15" spans="1:12" ht="13.8">
      <c r="A15" s="18" t="s">
        <v>117</v>
      </c>
      <c r="B15" s="65">
        <v>29.65</v>
      </c>
      <c r="C15" s="65">
        <v>40.18</v>
      </c>
      <c r="D15" s="65">
        <v>65.03</v>
      </c>
      <c r="E15" s="65">
        <v>37.869999999999997</v>
      </c>
      <c r="F15" s="65">
        <v>62</v>
      </c>
      <c r="G15" s="65">
        <v>39.47</v>
      </c>
      <c r="H15" s="65">
        <v>35.75</v>
      </c>
      <c r="I15" s="65">
        <v>38.369999999999997</v>
      </c>
      <c r="K15" s="82"/>
      <c r="L15" s="82"/>
    </row>
    <row r="16" spans="1:12" ht="13.8">
      <c r="A16" s="18" t="s">
        <v>34</v>
      </c>
      <c r="B16" s="65">
        <v>56.87</v>
      </c>
      <c r="C16" s="65">
        <v>80.94</v>
      </c>
      <c r="D16" s="65">
        <v>79</v>
      </c>
      <c r="E16" s="65">
        <v>70.459999999999994</v>
      </c>
      <c r="F16" s="65">
        <v>101.4</v>
      </c>
      <c r="G16" s="65">
        <v>53.88</v>
      </c>
      <c r="H16" s="65">
        <v>55.89</v>
      </c>
      <c r="I16" s="65">
        <v>54.98</v>
      </c>
      <c r="K16" s="82"/>
      <c r="L16" s="82"/>
    </row>
    <row r="17" spans="1:12" ht="16.2">
      <c r="A17" s="18" t="s">
        <v>137</v>
      </c>
      <c r="B17" s="65">
        <v>73</v>
      </c>
      <c r="C17" s="65">
        <v>107.15</v>
      </c>
      <c r="D17" s="65">
        <v>111.39</v>
      </c>
      <c r="E17" s="65">
        <v>90.52</v>
      </c>
      <c r="F17" s="65">
        <v>107</v>
      </c>
      <c r="G17" s="65">
        <v>64.28</v>
      </c>
      <c r="H17" s="65">
        <v>82</v>
      </c>
      <c r="I17" s="65">
        <v>81.84</v>
      </c>
      <c r="J17" s="120"/>
      <c r="K17" s="82"/>
      <c r="L17" s="82"/>
    </row>
    <row r="18" spans="1:12" ht="16.2">
      <c r="A18" s="18" t="s">
        <v>138</v>
      </c>
      <c r="B18" s="65">
        <v>69</v>
      </c>
      <c r="C18" s="65">
        <v>100</v>
      </c>
      <c r="D18" s="65">
        <v>99</v>
      </c>
      <c r="E18" s="65">
        <v>79</v>
      </c>
      <c r="F18" s="65">
        <v>104</v>
      </c>
      <c r="G18" s="65">
        <v>63</v>
      </c>
      <c r="H18" s="65">
        <v>82</v>
      </c>
      <c r="I18" s="65">
        <v>82</v>
      </c>
      <c r="J18" s="120"/>
      <c r="K18" s="82"/>
      <c r="L18" s="82"/>
    </row>
    <row r="19" spans="1:12" ht="13.8">
      <c r="A19" s="18"/>
      <c r="B19" s="78"/>
      <c r="C19" s="78"/>
      <c r="D19" s="78"/>
      <c r="E19" s="78"/>
      <c r="F19" s="78"/>
      <c r="G19" s="78"/>
      <c r="H19" s="78"/>
      <c r="I19" s="78"/>
    </row>
    <row r="20" spans="1:12" ht="13.8">
      <c r="A20" s="52" t="s">
        <v>53</v>
      </c>
      <c r="B20" s="65"/>
      <c r="C20" s="65"/>
      <c r="D20" s="65"/>
      <c r="E20" s="65"/>
      <c r="F20" s="65"/>
      <c r="G20" s="65"/>
      <c r="H20" s="65"/>
      <c r="I20" s="65"/>
      <c r="L20" s="120"/>
    </row>
    <row r="21" spans="1:12" ht="13.8">
      <c r="A21" s="22" t="s">
        <v>38</v>
      </c>
      <c r="B21" s="65">
        <v>70.42</v>
      </c>
      <c r="C21" s="65">
        <v>98.5</v>
      </c>
      <c r="D21" s="65">
        <v>129</v>
      </c>
      <c r="E21" s="65">
        <v>82.3</v>
      </c>
      <c r="F21" s="65">
        <v>101.5</v>
      </c>
      <c r="G21" s="65">
        <v>57.069999999999993</v>
      </c>
      <c r="H21" s="65" t="s">
        <v>75</v>
      </c>
      <c r="I21" s="65" t="s">
        <v>75</v>
      </c>
      <c r="K21" s="124"/>
      <c r="L21" s="123"/>
    </row>
    <row r="22" spans="1:12" ht="13.8">
      <c r="A22" s="22" t="s">
        <v>39</v>
      </c>
      <c r="B22" s="65">
        <v>66.459999999999994</v>
      </c>
      <c r="C22" s="65">
        <v>96.75</v>
      </c>
      <c r="D22" s="65">
        <v>125</v>
      </c>
      <c r="E22" s="65">
        <v>84.375</v>
      </c>
      <c r="F22" s="65">
        <v>100</v>
      </c>
      <c r="G22" s="65">
        <v>57.918000000000006</v>
      </c>
      <c r="H22" s="65" t="s">
        <v>75</v>
      </c>
      <c r="I22" s="65">
        <v>80.06</v>
      </c>
      <c r="K22" s="124"/>
      <c r="L22" s="124"/>
    </row>
    <row r="23" spans="1:12" ht="13.8">
      <c r="A23" s="22" t="s">
        <v>41</v>
      </c>
      <c r="B23" s="65">
        <v>63.69</v>
      </c>
      <c r="C23" s="65">
        <v>93.3</v>
      </c>
      <c r="D23" s="65">
        <v>125</v>
      </c>
      <c r="E23" s="65">
        <v>82.95</v>
      </c>
      <c r="F23" s="65">
        <v>100</v>
      </c>
      <c r="G23" s="65">
        <v>56.093333333333334</v>
      </c>
      <c r="H23" s="65" t="s">
        <v>75</v>
      </c>
      <c r="I23" s="65">
        <v>73</v>
      </c>
      <c r="K23" s="124"/>
      <c r="L23" s="124"/>
    </row>
    <row r="24" spans="1:12" ht="13.8">
      <c r="A24" s="22" t="s">
        <v>42</v>
      </c>
      <c r="B24" s="65">
        <v>65.7</v>
      </c>
      <c r="C24" s="65">
        <v>97.9375</v>
      </c>
      <c r="D24" s="65">
        <v>123.125</v>
      </c>
      <c r="E24" s="65">
        <v>88.5625</v>
      </c>
      <c r="F24" s="65">
        <v>103.125</v>
      </c>
      <c r="G24" s="65">
        <v>54.09</v>
      </c>
      <c r="H24" s="65" t="s">
        <v>75</v>
      </c>
      <c r="I24" s="65">
        <v>76.5</v>
      </c>
      <c r="K24" s="126"/>
    </row>
    <row r="25" spans="1:12" ht="13.8">
      <c r="A25" s="22" t="s">
        <v>43</v>
      </c>
      <c r="B25" s="65">
        <v>70.91</v>
      </c>
      <c r="C25" s="65">
        <v>101.375</v>
      </c>
      <c r="D25" s="65">
        <v>115.33333333333333</v>
      </c>
      <c r="E25" s="65">
        <v>85.875</v>
      </c>
      <c r="F25" s="65">
        <v>105</v>
      </c>
      <c r="G25" s="65">
        <v>59.29</v>
      </c>
      <c r="H25" s="65">
        <v>82</v>
      </c>
      <c r="I25" s="65">
        <v>80</v>
      </c>
    </row>
    <row r="26" spans="1:12" ht="13.8">
      <c r="A26" s="22" t="s">
        <v>45</v>
      </c>
      <c r="B26" s="65">
        <v>76.405000000000001</v>
      </c>
      <c r="C26" s="65">
        <v>114.875</v>
      </c>
      <c r="D26" s="65">
        <v>129</v>
      </c>
      <c r="E26" s="65">
        <v>92</v>
      </c>
      <c r="F26" s="65">
        <v>107.5</v>
      </c>
      <c r="G26" s="65">
        <v>67.1875</v>
      </c>
      <c r="H26" s="65" t="s">
        <v>75</v>
      </c>
      <c r="I26" s="65">
        <v>81.5</v>
      </c>
    </row>
    <row r="27" spans="1:12" ht="13.8">
      <c r="A27" s="22" t="s">
        <v>46</v>
      </c>
      <c r="B27" s="65">
        <v>83.846000000000004</v>
      </c>
      <c r="C27" s="65">
        <v>120.05</v>
      </c>
      <c r="D27" s="65">
        <v>120.4</v>
      </c>
      <c r="E27" s="65">
        <v>103.15</v>
      </c>
      <c r="F27" s="65">
        <v>115</v>
      </c>
      <c r="G27" s="65">
        <v>71.55</v>
      </c>
      <c r="H27" s="65" t="s">
        <v>75</v>
      </c>
      <c r="I27" s="65">
        <v>83.125</v>
      </c>
    </row>
    <row r="28" spans="1:12" ht="13.8">
      <c r="A28" s="22" t="s">
        <v>47</v>
      </c>
      <c r="B28" s="65">
        <v>87.385000000000005</v>
      </c>
      <c r="C28" s="65">
        <v>119.5625</v>
      </c>
      <c r="D28" s="65">
        <v>113.5</v>
      </c>
      <c r="E28" s="65">
        <v>108.6875</v>
      </c>
      <c r="F28" s="65">
        <v>116.25</v>
      </c>
      <c r="G28" s="65">
        <v>77.802499999999995</v>
      </c>
      <c r="H28" s="65" t="s">
        <v>75</v>
      </c>
      <c r="I28" s="65">
        <v>84.25</v>
      </c>
    </row>
    <row r="29" spans="1:12" ht="13.8">
      <c r="A29" s="22" t="s">
        <v>49</v>
      </c>
      <c r="B29" s="65">
        <v>80.297499999999999</v>
      </c>
      <c r="C29" s="65">
        <v>115.75</v>
      </c>
      <c r="D29" s="65">
        <v>97.75</v>
      </c>
      <c r="E29" s="65">
        <v>102.25</v>
      </c>
      <c r="F29" s="65">
        <v>116.25</v>
      </c>
      <c r="G29" s="65">
        <v>76.375</v>
      </c>
      <c r="H29" s="65" t="s">
        <v>75</v>
      </c>
      <c r="I29" s="65">
        <v>86.5</v>
      </c>
    </row>
    <row r="30" spans="1:12" ht="13.8">
      <c r="A30" s="22" t="s">
        <v>50</v>
      </c>
      <c r="B30" s="65">
        <v>67.74799999999999</v>
      </c>
      <c r="C30" s="65">
        <v>100.8</v>
      </c>
      <c r="D30" s="65">
        <v>78.2</v>
      </c>
      <c r="E30" s="65">
        <v>87.9</v>
      </c>
      <c r="F30" s="65">
        <v>103.2</v>
      </c>
      <c r="G30" s="65">
        <v>62.25</v>
      </c>
      <c r="H30" s="65" t="s">
        <v>75</v>
      </c>
      <c r="I30" s="65">
        <v>81.5</v>
      </c>
    </row>
    <row r="31" spans="1:12" ht="13.8">
      <c r="A31" s="22" t="s">
        <v>51</v>
      </c>
      <c r="B31" s="65">
        <v>72.334999999999994</v>
      </c>
      <c r="C31" s="65">
        <v>113.75</v>
      </c>
      <c r="D31" s="65">
        <v>92</v>
      </c>
      <c r="E31" s="65">
        <v>91.3125</v>
      </c>
      <c r="F31" s="65">
        <v>107.25</v>
      </c>
      <c r="G31" s="65">
        <v>65.4375</v>
      </c>
      <c r="H31" s="65" t="s">
        <v>75</v>
      </c>
      <c r="I31" s="65" t="s">
        <v>75</v>
      </c>
    </row>
    <row r="32" spans="1:12" ht="13.8">
      <c r="A32" s="22" t="s">
        <v>37</v>
      </c>
      <c r="B32" s="65">
        <v>70.626000000000005</v>
      </c>
      <c r="C32" s="65">
        <v>113.2</v>
      </c>
      <c r="D32" s="65">
        <v>88.4</v>
      </c>
      <c r="E32" s="65">
        <v>76.849999999999994</v>
      </c>
      <c r="F32" s="65">
        <v>111.6</v>
      </c>
      <c r="G32" s="65">
        <v>66.263999999999996</v>
      </c>
      <c r="H32" s="65" t="s">
        <v>75</v>
      </c>
      <c r="I32" s="65">
        <v>92</v>
      </c>
      <c r="K32" s="82"/>
      <c r="L32" s="82"/>
    </row>
    <row r="33" spans="1:12" ht="13.8">
      <c r="A33" s="22"/>
      <c r="B33" s="65"/>
      <c r="C33" s="65"/>
      <c r="D33" s="65"/>
      <c r="E33" s="65"/>
      <c r="F33" s="65"/>
      <c r="G33" s="65"/>
      <c r="H33" s="65"/>
      <c r="I33" s="65"/>
      <c r="K33" s="82"/>
      <c r="L33" s="82"/>
    </row>
    <row r="34" spans="1:12" ht="13.8">
      <c r="A34" s="52" t="s">
        <v>156</v>
      </c>
      <c r="B34" s="65"/>
      <c r="C34" s="65"/>
      <c r="D34" s="65"/>
      <c r="E34" s="65"/>
      <c r="F34" s="65"/>
      <c r="G34" s="65"/>
      <c r="H34" s="65"/>
      <c r="I34" s="65"/>
      <c r="K34" s="82"/>
      <c r="L34" s="82"/>
    </row>
    <row r="35" spans="1:12" ht="13.8">
      <c r="A35" s="16" t="s">
        <v>38</v>
      </c>
      <c r="B35" s="15">
        <v>72.67</v>
      </c>
      <c r="C35" s="15">
        <v>110.1875</v>
      </c>
      <c r="D35" s="15">
        <v>93.75</v>
      </c>
      <c r="E35" s="15">
        <v>80.125</v>
      </c>
      <c r="F35" s="15">
        <v>107.75</v>
      </c>
      <c r="G35" s="15">
        <v>65.412499999999994</v>
      </c>
      <c r="H35" s="15">
        <v>88</v>
      </c>
      <c r="I35" s="15">
        <v>88.5</v>
      </c>
      <c r="K35" s="82"/>
      <c r="L35" s="82"/>
    </row>
    <row r="36" spans="1:12" ht="16.2">
      <c r="A36" s="55" t="s">
        <v>139</v>
      </c>
      <c r="B36" s="80"/>
      <c r="C36" s="80"/>
      <c r="D36" s="80"/>
      <c r="E36" s="80"/>
      <c r="F36" s="80"/>
      <c r="G36" s="80"/>
      <c r="H36" s="80"/>
      <c r="I36" s="80"/>
    </row>
    <row r="37" spans="1:12" ht="16.2">
      <c r="A37" s="18" t="s">
        <v>140</v>
      </c>
      <c r="B37" s="80"/>
      <c r="C37" s="80"/>
      <c r="D37" s="80"/>
      <c r="E37" s="80"/>
      <c r="F37" s="80"/>
      <c r="G37" s="80"/>
      <c r="H37" s="80"/>
      <c r="I37" s="80"/>
    </row>
    <row r="38" spans="1:12" ht="14.4">
      <c r="A38" s="18" t="s">
        <v>141</v>
      </c>
      <c r="B38" s="18"/>
      <c r="C38" s="18"/>
      <c r="D38" s="18"/>
      <c r="E38" s="18"/>
      <c r="F38" s="80"/>
      <c r="G38" s="18"/>
      <c r="H38" s="18"/>
      <c r="I38" s="18"/>
    </row>
    <row r="39" spans="1:12" ht="13.8">
      <c r="A39" s="24" t="s">
        <v>56</v>
      </c>
      <c r="B39" s="47">
        <f>Contents!A16</f>
        <v>44879</v>
      </c>
      <c r="C39" s="18"/>
      <c r="D39" s="18"/>
      <c r="E39" s="18"/>
      <c r="F39" s="18"/>
      <c r="G39" s="18"/>
      <c r="H39" s="18"/>
      <c r="I39" s="18"/>
    </row>
    <row r="40" spans="1:12" ht="15.6">
      <c r="C40" s="81"/>
      <c r="G40" s="81"/>
      <c r="H40" s="81"/>
      <c r="I40" s="81"/>
    </row>
    <row r="41" spans="1:12" ht="15.6">
      <c r="B41" s="82"/>
      <c r="C41" s="82"/>
      <c r="D41" s="82"/>
      <c r="E41" s="82"/>
      <c r="F41" s="82"/>
      <c r="G41" s="82"/>
      <c r="H41" s="81"/>
      <c r="I41" s="81"/>
    </row>
    <row r="42" spans="1:12" ht="15.6">
      <c r="B42" s="125"/>
      <c r="C42" s="125"/>
      <c r="D42" s="125"/>
      <c r="E42" s="125"/>
      <c r="F42" s="125"/>
      <c r="G42" s="125"/>
      <c r="H42" s="81"/>
      <c r="I42" s="81"/>
    </row>
    <row r="43" spans="1:12" ht="15.6">
      <c r="C43" s="81"/>
      <c r="G43" s="81"/>
      <c r="H43" s="81"/>
      <c r="I43" s="81"/>
    </row>
    <row r="44" spans="1:12" ht="15.6">
      <c r="C44" s="81"/>
      <c r="G44" s="81"/>
      <c r="H44" s="81"/>
      <c r="I44" s="81"/>
    </row>
    <row r="45" spans="1:12" ht="15.6">
      <c r="C45" s="81"/>
      <c r="G45" s="81"/>
      <c r="H45" s="81"/>
      <c r="I45" s="81"/>
    </row>
    <row r="46" spans="1:12" ht="15.6">
      <c r="C46" s="81"/>
      <c r="G46" s="81"/>
      <c r="H46" s="81"/>
      <c r="I46" s="81"/>
    </row>
    <row r="47" spans="1:12" ht="15.6">
      <c r="C47" s="81"/>
      <c r="G47" s="81"/>
      <c r="H47" s="81"/>
      <c r="I47" s="81"/>
    </row>
    <row r="48" spans="1:12" ht="15.6">
      <c r="C48" s="81"/>
      <c r="G48" s="81"/>
      <c r="H48" s="81"/>
      <c r="I48" s="81"/>
    </row>
    <row r="49" spans="3:9" ht="15.6">
      <c r="C49" s="81"/>
      <c r="G49" s="81"/>
      <c r="H49" s="81"/>
      <c r="I49" s="81"/>
    </row>
    <row r="50" spans="3:9" ht="15.6">
      <c r="C50" s="81"/>
      <c r="G50" s="81"/>
      <c r="H50" s="81"/>
      <c r="I50" s="81"/>
    </row>
    <row r="51" spans="3:9" ht="15.6">
      <c r="C51" s="81"/>
      <c r="G51" s="81"/>
      <c r="H51" s="81"/>
      <c r="I51" s="81"/>
    </row>
    <row r="52" spans="3:9" ht="15.6">
      <c r="C52" s="81"/>
      <c r="G52" s="81"/>
      <c r="H52" s="81"/>
      <c r="I52" s="81"/>
    </row>
    <row r="53" spans="3:9" ht="15.6">
      <c r="C53" s="81"/>
      <c r="G53" s="81"/>
      <c r="H53" s="81"/>
      <c r="I53" s="81"/>
    </row>
    <row r="54" spans="3:9" ht="15.6">
      <c r="C54" s="81"/>
      <c r="G54" s="81"/>
      <c r="H54" s="81"/>
      <c r="I54" s="81"/>
    </row>
    <row r="55" spans="3:9" ht="15.6">
      <c r="C55" s="81"/>
      <c r="G55" s="81"/>
      <c r="H55" s="81"/>
      <c r="I55" s="81"/>
    </row>
    <row r="56" spans="3:9" ht="15.6">
      <c r="C56" s="81"/>
      <c r="H56" s="81"/>
      <c r="I56" s="81"/>
    </row>
    <row r="57" spans="3:9" ht="15.6">
      <c r="C57" s="81"/>
      <c r="H57" s="81"/>
      <c r="I57" s="81"/>
    </row>
    <row r="58" spans="3:9" ht="15.6">
      <c r="C58" s="81"/>
      <c r="F58" s="82"/>
      <c r="H58" s="81"/>
      <c r="I58" s="81"/>
    </row>
    <row r="59" spans="3:9" ht="15.6">
      <c r="F59" s="82"/>
      <c r="H59" s="81"/>
      <c r="I59" s="81"/>
    </row>
  </sheetData>
  <phoneticPr fontId="19" type="noConversion"/>
  <pageMargins left="0.75" right="0.75" top="1" bottom="1" header="0.5" footer="0.5"/>
  <pageSetup scale="83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AB49"/>
  <sheetViews>
    <sheetView showGridLines="0" zoomScale="70" zoomScaleNormal="70" workbookViewId="0"/>
  </sheetViews>
  <sheetFormatPr defaultColWidth="9.109375" defaultRowHeight="13.2"/>
  <cols>
    <col min="1" max="1" width="11.6640625" style="17" customWidth="1"/>
    <col min="2" max="7" width="13.6640625" style="17" customWidth="1"/>
    <col min="8" max="8" width="10.109375" style="17" bestFit="1" customWidth="1"/>
    <col min="9" max="10" width="9.109375" style="17"/>
    <col min="11" max="11" width="8.88671875" style="17" customWidth="1"/>
    <col min="12" max="12" width="18" style="17" bestFit="1" customWidth="1"/>
    <col min="13" max="16384" width="9.109375" style="17"/>
  </cols>
  <sheetData>
    <row r="1" spans="1:28" ht="13.8">
      <c r="A1" s="16" t="s">
        <v>10</v>
      </c>
      <c r="B1" s="16"/>
      <c r="C1" s="16"/>
      <c r="D1" s="16"/>
      <c r="E1" s="16"/>
      <c r="F1" s="16"/>
      <c r="G1" s="16"/>
    </row>
    <row r="2" spans="1:28" ht="15.6" customHeight="1">
      <c r="A2" s="22" t="s">
        <v>96</v>
      </c>
      <c r="B2" s="39" t="s">
        <v>122</v>
      </c>
      <c r="C2" s="83" t="s">
        <v>123</v>
      </c>
      <c r="D2" s="83" t="s">
        <v>124</v>
      </c>
      <c r="E2" s="83" t="s">
        <v>126</v>
      </c>
      <c r="F2" s="39" t="s">
        <v>142</v>
      </c>
      <c r="G2" s="20" t="s">
        <v>143</v>
      </c>
      <c r="AB2" s="84"/>
    </row>
    <row r="3" spans="1:28" ht="15.6" customHeight="1">
      <c r="A3" s="16" t="s">
        <v>103</v>
      </c>
      <c r="B3" s="27" t="s">
        <v>144</v>
      </c>
      <c r="C3" s="27" t="s">
        <v>145</v>
      </c>
      <c r="D3" s="27" t="s">
        <v>146</v>
      </c>
      <c r="E3" s="27" t="s">
        <v>147</v>
      </c>
      <c r="F3" s="27" t="s">
        <v>148</v>
      </c>
      <c r="G3" s="27" t="s">
        <v>149</v>
      </c>
      <c r="AB3" s="84"/>
    </row>
    <row r="4" spans="1:28" ht="14.4">
      <c r="A4" s="76" t="s">
        <v>150</v>
      </c>
      <c r="C4" s="77"/>
      <c r="D4" s="77"/>
      <c r="E4" s="77"/>
      <c r="F4" s="77"/>
      <c r="G4" s="77"/>
      <c r="AB4" s="84"/>
    </row>
    <row r="5" spans="1:28" ht="13.8">
      <c r="A5" s="18"/>
      <c r="B5" s="18"/>
      <c r="C5" s="18"/>
      <c r="D5" s="18"/>
      <c r="E5" s="18"/>
      <c r="F5" s="18"/>
      <c r="G5" s="18"/>
      <c r="AB5" s="84"/>
    </row>
    <row r="6" spans="1:28" ht="13.8">
      <c r="A6" s="18" t="s">
        <v>108</v>
      </c>
      <c r="B6" s="65">
        <v>345.52</v>
      </c>
      <c r="C6" s="65">
        <v>273.83999999999997</v>
      </c>
      <c r="D6" s="65">
        <v>219.72</v>
      </c>
      <c r="E6" s="85" t="s">
        <v>75</v>
      </c>
      <c r="F6" s="65">
        <v>263.63</v>
      </c>
      <c r="G6" s="65">
        <v>240.65</v>
      </c>
      <c r="AB6" s="84"/>
    </row>
    <row r="7" spans="1:28" ht="13.8">
      <c r="A7" s="18" t="s">
        <v>109</v>
      </c>
      <c r="B7" s="65">
        <v>393.53</v>
      </c>
      <c r="C7" s="65">
        <v>275.13</v>
      </c>
      <c r="D7" s="65">
        <v>246.75</v>
      </c>
      <c r="E7" s="85" t="s">
        <v>75</v>
      </c>
      <c r="F7" s="65">
        <v>307.58999999999997</v>
      </c>
      <c r="G7" s="65">
        <v>265.68</v>
      </c>
      <c r="AB7" s="84"/>
    </row>
    <row r="8" spans="1:28" ht="13.8">
      <c r="A8" s="18" t="s">
        <v>110</v>
      </c>
      <c r="B8" s="65">
        <v>468.11</v>
      </c>
      <c r="C8" s="65">
        <v>331.52</v>
      </c>
      <c r="D8" s="65">
        <v>241.57</v>
      </c>
      <c r="E8" s="85" t="s">
        <v>75</v>
      </c>
      <c r="F8" s="65">
        <v>354.22</v>
      </c>
      <c r="G8" s="65">
        <v>329.31</v>
      </c>
      <c r="AB8" s="84"/>
    </row>
    <row r="9" spans="1:28" ht="13.8">
      <c r="A9" s="18" t="s">
        <v>111</v>
      </c>
      <c r="B9" s="65">
        <v>489.94</v>
      </c>
      <c r="C9" s="65">
        <v>377.71</v>
      </c>
      <c r="D9" s="65">
        <v>238.87</v>
      </c>
      <c r="E9" s="85" t="s">
        <v>75</v>
      </c>
      <c r="F9" s="65">
        <v>359.7</v>
      </c>
      <c r="G9" s="65">
        <v>337.23</v>
      </c>
      <c r="AB9" s="84"/>
    </row>
    <row r="10" spans="1:28" ht="13.8">
      <c r="A10" s="18" t="s">
        <v>112</v>
      </c>
      <c r="B10" s="65">
        <v>368.49</v>
      </c>
      <c r="C10" s="65">
        <v>304.27</v>
      </c>
      <c r="D10" s="65">
        <v>209.97</v>
      </c>
      <c r="E10" s="85" t="s">
        <v>75</v>
      </c>
      <c r="F10" s="65">
        <v>301.2</v>
      </c>
      <c r="G10" s="65">
        <v>256.58</v>
      </c>
      <c r="AB10" s="84"/>
    </row>
    <row r="11" spans="1:28" ht="13.8">
      <c r="A11" s="18" t="s">
        <v>113</v>
      </c>
      <c r="B11" s="65">
        <v>324.56</v>
      </c>
      <c r="C11" s="65">
        <v>261.19</v>
      </c>
      <c r="D11" s="65">
        <v>153.16999999999999</v>
      </c>
      <c r="E11" s="85" t="s">
        <v>75</v>
      </c>
      <c r="F11" s="65">
        <v>262.2</v>
      </c>
      <c r="G11" s="65">
        <v>260.23</v>
      </c>
      <c r="AB11" s="84"/>
    </row>
    <row r="12" spans="1:28" ht="13.8">
      <c r="A12" s="18" t="s">
        <v>114</v>
      </c>
      <c r="B12" s="65">
        <v>316.88</v>
      </c>
      <c r="C12" s="65">
        <v>208.61</v>
      </c>
      <c r="D12" s="65">
        <v>145.1</v>
      </c>
      <c r="E12" s="85" t="s">
        <v>75</v>
      </c>
      <c r="F12" s="65">
        <v>267.94</v>
      </c>
      <c r="G12" s="65">
        <v>282.49</v>
      </c>
      <c r="AB12" s="84"/>
    </row>
    <row r="13" spans="1:28" ht="13.8">
      <c r="A13" s="18" t="s">
        <v>115</v>
      </c>
      <c r="B13" s="65">
        <v>345.02</v>
      </c>
      <c r="C13" s="65">
        <v>260.88</v>
      </c>
      <c r="D13" s="65">
        <v>173.53</v>
      </c>
      <c r="E13" s="85" t="s">
        <v>75</v>
      </c>
      <c r="F13" s="65">
        <v>291.14999999999998</v>
      </c>
      <c r="G13" s="65">
        <v>239.15</v>
      </c>
    </row>
    <row r="14" spans="1:28" ht="13.8">
      <c r="A14" s="18" t="s">
        <v>116</v>
      </c>
      <c r="B14" s="65">
        <v>308.27999999999997</v>
      </c>
      <c r="C14" s="65">
        <v>228.64</v>
      </c>
      <c r="D14" s="79">
        <v>164.16</v>
      </c>
      <c r="E14" s="85" t="s">
        <v>75</v>
      </c>
      <c r="F14" s="65">
        <v>272.38</v>
      </c>
      <c r="G14" s="65">
        <v>225.77</v>
      </c>
    </row>
    <row r="15" spans="1:28" ht="13.8">
      <c r="A15" s="18" t="s">
        <v>117</v>
      </c>
      <c r="B15" s="65">
        <v>299.5</v>
      </c>
      <c r="C15" s="65">
        <v>247.04</v>
      </c>
      <c r="D15" s="79">
        <v>187.7</v>
      </c>
      <c r="E15" s="85" t="s">
        <v>75</v>
      </c>
      <c r="F15" s="65">
        <v>273.99</v>
      </c>
      <c r="G15" s="65">
        <v>245.88</v>
      </c>
    </row>
    <row r="16" spans="1:28" ht="13.8">
      <c r="A16" s="18" t="s">
        <v>34</v>
      </c>
      <c r="B16" s="65">
        <v>392.31</v>
      </c>
      <c r="C16" s="65">
        <v>375.51</v>
      </c>
      <c r="D16" s="79">
        <v>246.22</v>
      </c>
      <c r="E16" s="85" t="s">
        <v>75</v>
      </c>
      <c r="F16" s="65">
        <v>351.87</v>
      </c>
      <c r="G16" s="65">
        <v>288.12</v>
      </c>
    </row>
    <row r="17" spans="1:13" ht="16.2">
      <c r="A17" s="18" t="s">
        <v>137</v>
      </c>
      <c r="B17" s="65">
        <v>439.81</v>
      </c>
      <c r="C17" s="65">
        <v>355.33</v>
      </c>
      <c r="D17" s="79">
        <v>279.98</v>
      </c>
      <c r="E17" s="85" t="s">
        <v>75</v>
      </c>
      <c r="F17" s="65">
        <v>439.1</v>
      </c>
      <c r="G17" s="65">
        <v>332.21</v>
      </c>
    </row>
    <row r="18" spans="1:13" ht="16.2">
      <c r="A18" s="18" t="s">
        <v>138</v>
      </c>
      <c r="B18" s="65">
        <v>400</v>
      </c>
      <c r="C18" s="65">
        <v>325</v>
      </c>
      <c r="D18" s="79">
        <v>235</v>
      </c>
      <c r="E18" s="85" t="s">
        <v>75</v>
      </c>
      <c r="F18" s="65">
        <v>360</v>
      </c>
      <c r="G18" s="65">
        <v>290</v>
      </c>
    </row>
    <row r="19" spans="1:13" ht="13.8">
      <c r="A19" s="22"/>
      <c r="B19" s="65"/>
      <c r="C19" s="65"/>
      <c r="D19" s="65"/>
      <c r="E19" s="85"/>
      <c r="F19" s="65"/>
      <c r="G19" s="65"/>
      <c r="I19" s="86"/>
      <c r="J19" s="87"/>
      <c r="K19" s="87"/>
      <c r="L19" s="87"/>
      <c r="M19" s="87"/>
    </row>
    <row r="20" spans="1:13" ht="13.8">
      <c r="A20" s="52" t="s">
        <v>53</v>
      </c>
      <c r="B20" s="65"/>
      <c r="C20" s="65"/>
      <c r="D20" s="65"/>
      <c r="E20" s="65"/>
      <c r="F20" s="65"/>
      <c r="G20" s="65"/>
      <c r="H20" s="65"/>
    </row>
    <row r="21" spans="1:13" ht="13.8">
      <c r="A21" s="22" t="s">
        <v>38</v>
      </c>
      <c r="B21" s="65">
        <v>325.43</v>
      </c>
      <c r="C21" s="65">
        <v>298.75</v>
      </c>
      <c r="D21" s="65">
        <v>222.5</v>
      </c>
      <c r="E21" s="85" t="s">
        <v>75</v>
      </c>
      <c r="F21" s="65">
        <v>322.82499999999999</v>
      </c>
      <c r="G21" s="65">
        <v>265.625</v>
      </c>
      <c r="H21" s="65"/>
    </row>
    <row r="22" spans="1:13" ht="13.8">
      <c r="A22" s="22" t="s">
        <v>39</v>
      </c>
      <c r="B22" s="65">
        <v>358.73</v>
      </c>
      <c r="C22" s="65">
        <v>304.5</v>
      </c>
      <c r="D22" s="65">
        <v>256.5</v>
      </c>
      <c r="E22" s="85" t="s">
        <v>75</v>
      </c>
      <c r="F22" s="65">
        <v>350.21999999999997</v>
      </c>
      <c r="G22" s="65">
        <v>252</v>
      </c>
      <c r="H22" s="65"/>
    </row>
    <row r="23" spans="1:13" ht="13.8">
      <c r="A23" s="22" t="s">
        <v>41</v>
      </c>
      <c r="B23" s="65">
        <v>399.53</v>
      </c>
      <c r="C23" s="65">
        <v>311.25</v>
      </c>
      <c r="D23" s="65">
        <v>289.16666666666669</v>
      </c>
      <c r="E23" s="85" t="s">
        <v>75</v>
      </c>
      <c r="F23" s="65">
        <v>382.9666666666667</v>
      </c>
      <c r="G23" s="65">
        <v>309.16666666666669</v>
      </c>
      <c r="H23" s="65"/>
    </row>
    <row r="24" spans="1:13" ht="13.8">
      <c r="A24" s="22" t="s">
        <v>151</v>
      </c>
      <c r="B24" s="65">
        <v>421.21</v>
      </c>
      <c r="C24" s="65">
        <v>318.125</v>
      </c>
      <c r="D24" s="65">
        <v>301.25</v>
      </c>
      <c r="E24" s="85" t="s">
        <v>75</v>
      </c>
      <c r="F24" s="65">
        <v>410.875</v>
      </c>
      <c r="G24" s="65">
        <v>326.25</v>
      </c>
      <c r="H24" s="65"/>
    </row>
    <row r="25" spans="1:13" ht="13.8">
      <c r="A25" s="22" t="s">
        <v>43</v>
      </c>
      <c r="B25" s="121">
        <v>460.45</v>
      </c>
      <c r="C25" s="65">
        <v>333.75</v>
      </c>
      <c r="D25" s="65">
        <v>320</v>
      </c>
      <c r="E25" s="85" t="s">
        <v>75</v>
      </c>
      <c r="F25" s="65">
        <v>454.625</v>
      </c>
      <c r="G25" s="65">
        <v>350</v>
      </c>
      <c r="H25" s="65"/>
    </row>
    <row r="26" spans="1:13" ht="13.8">
      <c r="A26" s="22" t="s">
        <v>45</v>
      </c>
      <c r="B26" s="121">
        <v>493.97500000000002</v>
      </c>
      <c r="C26" s="65">
        <v>345.625</v>
      </c>
      <c r="D26" s="65">
        <v>333.33300000000003</v>
      </c>
      <c r="E26" s="85" t="s">
        <v>75</v>
      </c>
      <c r="F26" s="65">
        <v>487.03750000000002</v>
      </c>
      <c r="G26" s="65">
        <v>392.5</v>
      </c>
      <c r="H26" s="65"/>
    </row>
    <row r="27" spans="1:13" ht="13.8">
      <c r="A27" s="22" t="s">
        <v>46</v>
      </c>
      <c r="B27" s="121">
        <v>475.35999999999996</v>
      </c>
      <c r="C27" s="65">
        <v>355</v>
      </c>
      <c r="D27" s="65">
        <v>321</v>
      </c>
      <c r="E27" s="85" t="s">
        <v>75</v>
      </c>
      <c r="F27" s="65">
        <v>470.77999999999992</v>
      </c>
      <c r="G27" s="65">
        <v>386</v>
      </c>
      <c r="H27" s="65"/>
    </row>
    <row r="28" spans="1:13" ht="13.8">
      <c r="A28" s="22" t="s">
        <v>47</v>
      </c>
      <c r="B28" s="121">
        <v>441.27499999999998</v>
      </c>
      <c r="C28" s="65">
        <v>388.75</v>
      </c>
      <c r="D28" s="65">
        <v>285.625</v>
      </c>
      <c r="E28" s="85" t="s">
        <v>75</v>
      </c>
      <c r="F28" s="65">
        <v>454.5</v>
      </c>
      <c r="G28" s="65">
        <v>351.25</v>
      </c>
      <c r="H28" s="65"/>
    </row>
    <row r="29" spans="1:13" ht="13.8">
      <c r="A29" s="22" t="s">
        <v>49</v>
      </c>
      <c r="B29" s="121">
        <v>445.92499999999995</v>
      </c>
      <c r="C29" s="65">
        <v>383.75</v>
      </c>
      <c r="D29" s="65">
        <v>281.875</v>
      </c>
      <c r="E29" s="85" t="s">
        <v>75</v>
      </c>
      <c r="F29" s="65">
        <v>478.17499999999995</v>
      </c>
      <c r="G29" s="65">
        <v>322.5</v>
      </c>
      <c r="H29" s="65"/>
    </row>
    <row r="30" spans="1:13" ht="13.8">
      <c r="A30" s="22" t="s">
        <v>50</v>
      </c>
      <c r="B30" s="121">
        <v>467.87</v>
      </c>
      <c r="C30" s="65">
        <v>369.5</v>
      </c>
      <c r="D30" s="65">
        <v>268.5</v>
      </c>
      <c r="E30" s="85" t="s">
        <v>75</v>
      </c>
      <c r="F30" s="65">
        <v>501.17999999999995</v>
      </c>
      <c r="G30" s="65">
        <v>351.5</v>
      </c>
      <c r="H30" s="65"/>
    </row>
    <row r="31" spans="1:13" ht="13.8">
      <c r="A31" s="22" t="s">
        <v>51</v>
      </c>
      <c r="B31" s="121">
        <v>510.90000000000009</v>
      </c>
      <c r="C31" s="65">
        <v>405</v>
      </c>
      <c r="D31" s="65">
        <v>255</v>
      </c>
      <c r="E31" s="85" t="s">
        <v>75</v>
      </c>
      <c r="F31" s="65">
        <v>521.52500000000009</v>
      </c>
      <c r="G31" s="65">
        <v>347.5</v>
      </c>
      <c r="H31" s="65"/>
    </row>
    <row r="32" spans="1:13" ht="13.8">
      <c r="A32" s="22" t="s">
        <v>37</v>
      </c>
      <c r="B32" s="142">
        <v>473.93999999999994</v>
      </c>
      <c r="C32" s="65">
        <v>450</v>
      </c>
      <c r="D32" s="65">
        <v>225</v>
      </c>
      <c r="E32" s="85" t="s">
        <v>75</v>
      </c>
      <c r="F32" s="65">
        <v>434.53999999999996</v>
      </c>
      <c r="G32" s="65" t="s">
        <v>75</v>
      </c>
      <c r="H32" s="65"/>
    </row>
    <row r="33" spans="1:10" ht="13.8">
      <c r="A33" s="22"/>
      <c r="B33" s="142"/>
      <c r="C33" s="65"/>
      <c r="D33" s="65"/>
      <c r="E33" s="85"/>
      <c r="F33" s="65"/>
      <c r="G33" s="65"/>
      <c r="H33" s="65"/>
    </row>
    <row r="34" spans="1:10" ht="13.8">
      <c r="A34" s="52" t="s">
        <v>156</v>
      </c>
      <c r="B34" s="142"/>
      <c r="C34" s="65"/>
      <c r="D34" s="65"/>
      <c r="E34" s="85"/>
      <c r="F34" s="65"/>
      <c r="G34" s="65"/>
      <c r="H34" s="65"/>
    </row>
    <row r="35" spans="1:10" ht="13.8">
      <c r="A35" s="16" t="s">
        <v>38</v>
      </c>
      <c r="B35" s="133">
        <v>468.67499999999995</v>
      </c>
      <c r="C35" s="15">
        <v>451.875</v>
      </c>
      <c r="D35" s="15" t="s">
        <v>75</v>
      </c>
      <c r="E35" s="115" t="s">
        <v>75</v>
      </c>
      <c r="F35" s="15">
        <v>409.17499999999995</v>
      </c>
      <c r="G35" s="15" t="s">
        <v>75</v>
      </c>
      <c r="H35" s="65"/>
    </row>
    <row r="36" spans="1:10" ht="16.2">
      <c r="A36" s="55" t="s">
        <v>152</v>
      </c>
      <c r="B36" s="88"/>
      <c r="C36" s="88"/>
      <c r="D36" s="88"/>
      <c r="E36" s="88"/>
      <c r="F36" s="88"/>
      <c r="G36" s="88"/>
      <c r="I36" s="86"/>
    </row>
    <row r="37" spans="1:10" ht="16.2">
      <c r="A37" s="55" t="s">
        <v>153</v>
      </c>
      <c r="B37" s="89"/>
      <c r="C37" s="89"/>
      <c r="D37" s="89"/>
      <c r="E37" s="89"/>
      <c r="F37" s="89"/>
      <c r="G37" s="89"/>
      <c r="I37" s="86"/>
      <c r="J37" s="86"/>
    </row>
    <row r="38" spans="1:10" ht="14.4">
      <c r="A38" s="18" t="s">
        <v>154</v>
      </c>
      <c r="B38" s="18"/>
      <c r="C38" s="18"/>
      <c r="D38" s="18"/>
      <c r="E38" s="18"/>
      <c r="F38" s="89"/>
      <c r="G38" s="89"/>
      <c r="I38" s="86"/>
      <c r="J38" s="86"/>
    </row>
    <row r="39" spans="1:10" ht="13.8">
      <c r="A39" s="24" t="s">
        <v>56</v>
      </c>
      <c r="B39" s="47">
        <f>Contents!A16</f>
        <v>44879</v>
      </c>
      <c r="C39" s="18"/>
      <c r="D39" s="18"/>
      <c r="E39" s="18"/>
      <c r="F39" s="89"/>
      <c r="G39" s="89"/>
      <c r="I39" s="90"/>
      <c r="J39" s="90"/>
    </row>
    <row r="40" spans="1:10" ht="13.8">
      <c r="F40" s="89"/>
      <c r="G40" s="89"/>
      <c r="I40" s="90"/>
      <c r="J40" s="90"/>
    </row>
    <row r="41" spans="1:10" ht="13.8">
      <c r="F41" s="89"/>
      <c r="G41" s="89"/>
      <c r="I41" s="86"/>
      <c r="J41" s="86"/>
    </row>
    <row r="42" spans="1:10">
      <c r="I42" s="86"/>
      <c r="J42" s="86"/>
    </row>
    <row r="43" spans="1:10">
      <c r="I43" s="86"/>
      <c r="J43" s="86"/>
    </row>
    <row r="44" spans="1:10">
      <c r="I44" s="86"/>
      <c r="J44" s="86"/>
    </row>
    <row r="45" spans="1:10">
      <c r="I45" s="86"/>
      <c r="J45" s="86"/>
    </row>
    <row r="46" spans="1:10">
      <c r="I46" s="86"/>
      <c r="J46" s="86"/>
    </row>
    <row r="48" spans="1:10">
      <c r="I48" s="91"/>
      <c r="J48" s="91"/>
    </row>
    <row r="49" spans="9:10">
      <c r="I49" s="91"/>
      <c r="J49" s="91"/>
    </row>
  </sheetData>
  <phoneticPr fontId="19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A85FA-E6DA-4506-965E-65137E8EBF7E}">
  <dimension ref="A1:H13"/>
  <sheetViews>
    <sheetView zoomScaleNormal="100" workbookViewId="0"/>
  </sheetViews>
  <sheetFormatPr defaultColWidth="9.109375" defaultRowHeight="13.2"/>
  <cols>
    <col min="1" max="1" width="13.109375" style="131" bestFit="1" customWidth="1"/>
    <col min="2" max="2" width="12.33203125" style="131" customWidth="1"/>
    <col min="3" max="4" width="10.33203125" style="131" customWidth="1"/>
    <col min="5" max="5" width="15.33203125" style="131" customWidth="1"/>
    <col min="6" max="16384" width="9.109375" style="131"/>
  </cols>
  <sheetData>
    <row r="1" spans="1:8">
      <c r="A1" s="158"/>
      <c r="B1" s="159" t="s">
        <v>184</v>
      </c>
      <c r="C1" s="159"/>
      <c r="D1" s="159"/>
      <c r="E1" s="155"/>
      <c r="F1" s="155"/>
    </row>
    <row r="2" spans="1:8" ht="26.4">
      <c r="A2" s="158" t="s">
        <v>185</v>
      </c>
      <c r="B2" s="161" t="s">
        <v>186</v>
      </c>
      <c r="C2" s="158">
        <v>2021</v>
      </c>
      <c r="D2" s="158">
        <v>2022</v>
      </c>
      <c r="E2" s="156"/>
      <c r="F2" s="156"/>
    </row>
    <row r="3" spans="1:8">
      <c r="A3" s="160">
        <v>44822</v>
      </c>
      <c r="B3">
        <v>5</v>
      </c>
      <c r="C3">
        <v>6</v>
      </c>
      <c r="D3">
        <v>3</v>
      </c>
      <c r="E3" s="157"/>
      <c r="F3" s="157"/>
      <c r="G3" s="137"/>
      <c r="H3" s="137"/>
    </row>
    <row r="4" spans="1:8">
      <c r="A4" s="160">
        <v>44829</v>
      </c>
      <c r="B4">
        <v>13</v>
      </c>
      <c r="C4">
        <v>16</v>
      </c>
      <c r="D4">
        <v>8</v>
      </c>
      <c r="E4" s="138"/>
      <c r="F4" s="138"/>
      <c r="G4" s="137"/>
      <c r="H4" s="137"/>
    </row>
    <row r="5" spans="1:8">
      <c r="A5" s="160">
        <v>44836</v>
      </c>
      <c r="B5">
        <v>25</v>
      </c>
      <c r="C5">
        <v>34</v>
      </c>
      <c r="D5">
        <v>22</v>
      </c>
      <c r="E5" s="138"/>
      <c r="F5" s="138"/>
      <c r="G5" s="137"/>
      <c r="H5" s="137"/>
    </row>
    <row r="6" spans="1:8">
      <c r="A6" s="160">
        <v>44843</v>
      </c>
      <c r="B6">
        <v>38</v>
      </c>
      <c r="C6">
        <v>49</v>
      </c>
      <c r="D6">
        <v>44</v>
      </c>
      <c r="E6" s="138"/>
      <c r="F6" s="138"/>
      <c r="G6" s="137"/>
      <c r="H6" s="137"/>
    </row>
    <row r="7" spans="1:8">
      <c r="A7" s="160">
        <v>44850</v>
      </c>
      <c r="B7">
        <v>52</v>
      </c>
      <c r="C7">
        <v>60</v>
      </c>
      <c r="D7">
        <v>63</v>
      </c>
      <c r="E7" s="138"/>
      <c r="F7" s="138"/>
      <c r="G7" s="137"/>
      <c r="H7" s="137"/>
    </row>
    <row r="8" spans="1:8">
      <c r="A8" s="160">
        <v>44857</v>
      </c>
      <c r="B8">
        <v>67</v>
      </c>
      <c r="C8">
        <v>73</v>
      </c>
      <c r="D8">
        <v>80</v>
      </c>
      <c r="E8" s="138"/>
      <c r="F8" s="138"/>
      <c r="G8" s="137"/>
      <c r="H8" s="137"/>
    </row>
    <row r="9" spans="1:8">
      <c r="A9" s="160">
        <v>44864</v>
      </c>
      <c r="B9">
        <v>78</v>
      </c>
      <c r="C9">
        <v>79</v>
      </c>
      <c r="D9">
        <v>88</v>
      </c>
      <c r="E9" s="138"/>
      <c r="F9" s="138"/>
      <c r="G9" s="137"/>
      <c r="H9" s="137"/>
    </row>
    <row r="10" spans="1:8">
      <c r="A10" s="160">
        <v>44871</v>
      </c>
      <c r="B10">
        <v>86</v>
      </c>
      <c r="C10">
        <v>87</v>
      </c>
      <c r="D10">
        <v>94</v>
      </c>
      <c r="E10" s="138"/>
      <c r="F10" s="138"/>
      <c r="G10" s="137"/>
      <c r="H10" s="137"/>
    </row>
    <row r="11" spans="1:8">
      <c r="A11" s="160"/>
      <c r="C11"/>
      <c r="E11" s="138"/>
      <c r="F11" s="138"/>
      <c r="G11" s="137"/>
      <c r="H11" s="137"/>
    </row>
    <row r="12" spans="1:8">
      <c r="A12" s="160"/>
      <c r="B12" s="138"/>
      <c r="C12"/>
      <c r="D12" s="138"/>
      <c r="E12" s="138"/>
      <c r="F12" s="138"/>
      <c r="G12" s="137"/>
      <c r="H12" s="137"/>
    </row>
    <row r="13" spans="1:8">
      <c r="A13" s="136"/>
      <c r="B13" s="138"/>
      <c r="C13" s="134"/>
      <c r="D13" s="134"/>
      <c r="E13" s="134"/>
      <c r="F13" s="134"/>
    </row>
  </sheetData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DBA319C043DC4A8381C9E195FB1B27" ma:contentTypeVersion="4" ma:contentTypeDescription="Create a new document." ma:contentTypeScope="" ma:versionID="6b1a0caf0774e32845426cb3810d65d2">
  <xsd:schema xmlns:xsd="http://www.w3.org/2001/XMLSchema" xmlns:xs="http://www.w3.org/2001/XMLSchema" xmlns:p="http://schemas.microsoft.com/office/2006/metadata/properties" xmlns:ns2="c49de858-f9fd-4eb6-bcba-50396646711f" xmlns:ns3="7818c5c2-d41f-4dce-801c-4e3595afcb3f" targetNamespace="http://schemas.microsoft.com/office/2006/metadata/properties" ma:root="true" ma:fieldsID="7ed9e12bf1f8304dab8bd3f843b3f685" ns2:_="" ns3:_="">
    <xsd:import namespace="c49de858-f9fd-4eb6-bcba-50396646711f"/>
    <xsd:import namespace="7818c5c2-d41f-4dce-801c-4e3595afcb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9de858-f9fd-4eb6-bcba-5039664671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8c5c2-d41f-4dce-801c-4e3595afcb3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A8D954-8A64-4F7C-B553-C236DC8A07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9E4D74-FC99-4A2B-8BE6-0E26371C57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9de858-f9fd-4eb6-bcba-50396646711f"/>
    <ds:schemaRef ds:uri="7818c5c2-d41f-4dce-801c-4e3595afcb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F9FD27-698A-4259-BC06-6D4A65A05AE8}">
  <ds:schemaRefs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7818c5c2-d41f-4dce-801c-4e3595afcb3f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49de858-f9fd-4eb6-bcba-50396646711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Figure 1</vt:lpstr>
      <vt:lpstr>Figure 2</vt:lpstr>
      <vt:lpstr>Figure 3</vt:lpstr>
      <vt:lpstr>Figure 4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Aaron Ates; Maria Bukowski</dc:creator>
  <cp:keywords>oil crops, outlook, soybeans, soybean meal, soybean oil, cottonseed, sunflowerseed, sunflowerseed oil, peanuts, canola, canola oil, supply, disappearance, price, USDA, U.S. Department of Agriculture, ERS, Economic Research Service</cp:keywords>
  <dc:description/>
  <cp:lastModifiedBy>Boulanger, Stephanie - REE-ERS, Kansas City, MO</cp:lastModifiedBy>
  <cp:revision/>
  <dcterms:created xsi:type="dcterms:W3CDTF">2001-11-13T16:22:15Z</dcterms:created>
  <dcterms:modified xsi:type="dcterms:W3CDTF">2022-11-14T13:44:14Z</dcterms:modified>
  <cp:category>Oilseeds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0x0101003EDBA319C043DC4A8381C9E195FB1B27</vt:lpwstr>
  </property>
</Properties>
</file>