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FE987E77-59C4-4E76-B800-A31CAA47FE52}" xr6:coauthVersionLast="47" xr6:coauthVersionMax="47" xr10:uidLastSave="{00000000-0000-0000-0000-000000000000}"/>
  <bookViews>
    <workbookView xWindow="-108" yWindow="-108" windowWidth="23256" windowHeight="12576" tabRatio="873" activeTab="4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91" r:id="rId9"/>
    <sheet name="Figure 2" sheetId="85" r:id="rId10"/>
    <sheet name="Figure 3" sheetId="71" r:id="rId11"/>
    <sheet name="Figure 4" sheetId="89" r:id="rId12"/>
    <sheet name="Figure 5" sheetId="90" r:id="rId13"/>
  </sheets>
  <definedNames>
    <definedName name="_xlnm.Print_Area" localSheetId="1">'Table 1'!$A$1:$N$45</definedName>
    <definedName name="_xlnm.Print_Area" localSheetId="7">'Table 10'!$A$1:$G$47</definedName>
    <definedName name="_xlnm.Print_Area" localSheetId="2">'Table 2'!$A$1:$J$36</definedName>
    <definedName name="_xlnm.Print_Area" localSheetId="3">'Table 3'!$A$1:$L$49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" l="1"/>
  <c r="H34" i="2" l="1"/>
  <c r="H33" i="2"/>
  <c r="H32" i="2"/>
  <c r="H31" i="2"/>
  <c r="H30" i="2"/>
  <c r="H29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34" i="2"/>
  <c r="D33" i="2"/>
  <c r="D32" i="2"/>
  <c r="D31" i="2"/>
  <c r="D30" i="2"/>
  <c r="D29" i="2"/>
  <c r="D28" i="2"/>
  <c r="D27" i="2"/>
  <c r="D26" i="2"/>
  <c r="D22" i="2"/>
  <c r="D21" i="2"/>
  <c r="D19" i="2"/>
  <c r="D18" i="2"/>
  <c r="D17" i="2"/>
  <c r="D16" i="2"/>
  <c r="D15" i="2"/>
  <c r="D14" i="2"/>
  <c r="D13" i="2"/>
  <c r="D12" i="2"/>
  <c r="D11" i="2"/>
  <c r="D34" i="9" l="1"/>
  <c r="D33" i="9"/>
  <c r="D32" i="9"/>
  <c r="D31" i="9"/>
  <c r="D30" i="9"/>
  <c r="D29" i="9"/>
  <c r="D28" i="9"/>
  <c r="D27" i="9"/>
  <c r="D26" i="9"/>
  <c r="D22" i="9"/>
  <c r="D21" i="9"/>
  <c r="D20" i="9"/>
  <c r="D19" i="9"/>
  <c r="D18" i="9"/>
  <c r="D17" i="9"/>
  <c r="D16" i="9"/>
  <c r="D15" i="9"/>
  <c r="D14" i="9"/>
  <c r="D13" i="9"/>
  <c r="D12" i="9"/>
  <c r="D11" i="9"/>
  <c r="J34" i="9" l="1"/>
  <c r="J33" i="9"/>
  <c r="J32" i="9"/>
  <c r="J31" i="9"/>
  <c r="J30" i="9"/>
  <c r="J29" i="9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2" i="9"/>
  <c r="J11" i="9"/>
  <c r="G42" i="1" l="1"/>
  <c r="G40" i="1"/>
  <c r="G39" i="1"/>
  <c r="G38" i="1"/>
  <c r="G36" i="1"/>
  <c r="G35" i="1"/>
  <c r="G34" i="1"/>
  <c r="G32" i="1"/>
  <c r="G31" i="1"/>
  <c r="G30" i="1"/>
  <c r="G25" i="1"/>
  <c r="G24" i="1"/>
  <c r="G23" i="1"/>
  <c r="G21" i="1"/>
  <c r="G20" i="1"/>
  <c r="G19" i="1"/>
  <c r="G17" i="1"/>
  <c r="G16" i="1"/>
  <c r="G15" i="1"/>
  <c r="G13" i="1"/>
  <c r="G12" i="1"/>
  <c r="G11" i="1"/>
  <c r="L42" i="1"/>
  <c r="L40" i="1"/>
  <c r="L39" i="1"/>
  <c r="L38" i="1"/>
  <c r="L36" i="1"/>
  <c r="L35" i="1"/>
  <c r="L34" i="1"/>
  <c r="L32" i="1"/>
  <c r="L31" i="1"/>
  <c r="L30" i="1"/>
  <c r="L25" i="1" l="1"/>
  <c r="L24" i="1"/>
  <c r="L23" i="1"/>
  <c r="L21" i="1"/>
  <c r="L20" i="1"/>
  <c r="L19" i="1"/>
  <c r="L17" i="1"/>
  <c r="L16" i="1"/>
  <c r="L15" i="1"/>
  <c r="L13" i="1"/>
  <c r="L12" i="1"/>
  <c r="L11" i="1"/>
  <c r="J42" i="1" l="1"/>
  <c r="J40" i="1"/>
  <c r="J39" i="1"/>
  <c r="H33" i="9"/>
  <c r="B34" i="9"/>
  <c r="E34" i="9" s="1"/>
  <c r="K34" i="9" s="1"/>
  <c r="G34" i="9" s="1"/>
  <c r="B34" i="2"/>
  <c r="E34" i="2" s="1"/>
  <c r="I34" i="2" s="1"/>
  <c r="G34" i="2" s="1"/>
  <c r="E41" i="1" l="1"/>
  <c r="B33" i="2"/>
  <c r="E33" i="2" s="1"/>
  <c r="I33" i="2" s="1"/>
  <c r="G33" i="2" s="1"/>
  <c r="B33" i="9"/>
  <c r="E33" i="9" s="1"/>
  <c r="K33" i="9" s="1"/>
  <c r="G33" i="9" s="1"/>
  <c r="I33" i="9" s="1"/>
  <c r="B32" i="9" l="1"/>
  <c r="E32" i="9" s="1"/>
  <c r="K32" i="9" s="1"/>
  <c r="G32" i="9" s="1"/>
  <c r="I32" i="9" s="1"/>
  <c r="B32" i="2"/>
  <c r="E32" i="2" s="1"/>
  <c r="I32" i="2" s="1"/>
  <c r="G32" i="2" s="1"/>
  <c r="E46" i="3" l="1"/>
  <c r="H46" i="3" s="1"/>
  <c r="N46" i="3" s="1"/>
  <c r="E33" i="3"/>
  <c r="I33" i="3" s="1"/>
  <c r="G33" i="3" s="1"/>
  <c r="E21" i="3"/>
  <c r="G21" i="3" s="1"/>
  <c r="I21" i="3" s="1"/>
  <c r="B33" i="3"/>
  <c r="B21" i="3"/>
  <c r="B8" i="3"/>
  <c r="E8" i="3" s="1"/>
  <c r="J8" i="3" s="1"/>
  <c r="B8" i="9"/>
  <c r="E8" i="9" s="1"/>
  <c r="K8" i="9" s="1"/>
  <c r="G8" i="9" s="1"/>
  <c r="I8" i="9" s="1"/>
  <c r="B8" i="2"/>
  <c r="E8" i="2" s="1"/>
  <c r="I8" i="2" s="1"/>
  <c r="N6" i="1"/>
  <c r="E8" i="1"/>
  <c r="H8" i="1" s="1"/>
  <c r="M8" i="1" s="1"/>
  <c r="K8" i="1" s="1"/>
  <c r="D8" i="1"/>
  <c r="E6" i="1"/>
  <c r="B31" i="9"/>
  <c r="B31" i="2"/>
  <c r="E31" i="2" s="1"/>
  <c r="I31" i="2" s="1"/>
  <c r="L41" i="1"/>
  <c r="J38" i="1"/>
  <c r="J41" i="1" s="1"/>
  <c r="J43" i="1" s="1"/>
  <c r="G41" i="1"/>
  <c r="H41" i="1" l="1"/>
  <c r="M41" i="1" s="1"/>
  <c r="K41" i="1" s="1"/>
  <c r="E31" i="9"/>
  <c r="K31" i="9" s="1"/>
  <c r="G31" i="9" s="1"/>
  <c r="I31" i="9" s="1"/>
  <c r="G31" i="2"/>
  <c r="J36" i="1"/>
  <c r="B30" i="9"/>
  <c r="B30" i="2"/>
  <c r="E37" i="1"/>
  <c r="E30" i="9" l="1"/>
  <c r="K30" i="9" s="1"/>
  <c r="G30" i="9" s="1"/>
  <c r="I30" i="9" s="1"/>
  <c r="E30" i="2"/>
  <c r="I30" i="2" s="1"/>
  <c r="G30" i="2" s="1"/>
  <c r="J35" i="1" l="1"/>
  <c r="B29" i="9"/>
  <c r="E29" i="9" s="1"/>
  <c r="K29" i="9" s="1"/>
  <c r="G29" i="9" s="1"/>
  <c r="I29" i="9" s="1"/>
  <c r="B29" i="2"/>
  <c r="E29" i="2" s="1"/>
  <c r="I29" i="2" s="1"/>
  <c r="G29" i="2" s="1"/>
  <c r="L37" i="1"/>
  <c r="G37" i="1"/>
  <c r="H37" i="1" s="1"/>
  <c r="M37" i="1" s="1"/>
  <c r="J34" i="1"/>
  <c r="J32" i="1"/>
  <c r="J37" i="1" l="1"/>
  <c r="K37" i="1" s="1"/>
  <c r="B28" i="9"/>
  <c r="E28" i="9" s="1"/>
  <c r="K28" i="9" s="1"/>
  <c r="G28" i="9" s="1"/>
  <c r="I28" i="9" s="1"/>
  <c r="B28" i="2"/>
  <c r="E28" i="2" s="1"/>
  <c r="I28" i="2" s="1"/>
  <c r="G28" i="2" s="1"/>
  <c r="B27" i="9" l="1"/>
  <c r="B27" i="2"/>
  <c r="E27" i="9" l="1"/>
  <c r="K27" i="9" s="1"/>
  <c r="G27" i="9" s="1"/>
  <c r="I27" i="9" s="1"/>
  <c r="E27" i="2"/>
  <c r="I27" i="2" s="1"/>
  <c r="G27" i="2" s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0" i="3" l="1"/>
  <c r="L33" i="1" l="1"/>
  <c r="L43" i="1" s="1"/>
  <c r="G33" i="1"/>
  <c r="G43" i="1" s="1"/>
  <c r="H33" i="1" l="1"/>
  <c r="M33" i="1" s="1"/>
  <c r="J30" i="1"/>
  <c r="J33" i="1" s="1"/>
  <c r="K33" i="1" l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B20" i="9" l="1"/>
  <c r="E20" i="9" s="1"/>
  <c r="K20" i="9" s="1"/>
  <c r="D20" i="2"/>
  <c r="B20" i="2"/>
  <c r="E20" i="2" s="1"/>
  <c r="I20" i="2" s="1"/>
  <c r="G20" i="9" l="1"/>
  <c r="G20" i="2"/>
  <c r="I20" i="9" l="1"/>
  <c r="D45" i="3"/>
  <c r="B7" i="9"/>
  <c r="D7" i="1"/>
  <c r="L26" i="1"/>
  <c r="G26" i="1"/>
  <c r="H26" i="1" s="1"/>
  <c r="M26" i="1" s="1"/>
  <c r="B19" i="9"/>
  <c r="B19" i="2"/>
  <c r="J23" i="1"/>
  <c r="J26" i="1" s="1"/>
  <c r="E19" i="2" l="1"/>
  <c r="I19" i="2" s="1"/>
  <c r="G19" i="2" s="1"/>
  <c r="E19" i="9"/>
  <c r="K19" i="9" s="1"/>
  <c r="G19" i="9" s="1"/>
  <c r="K26" i="1"/>
  <c r="D23" i="9"/>
  <c r="D6" i="9" s="1"/>
  <c r="J23" i="9" l="1"/>
  <c r="J6" i="9" s="1"/>
  <c r="I19" i="9"/>
  <c r="H23" i="2" l="1"/>
  <c r="H6" i="2" s="1"/>
  <c r="D23" i="2"/>
  <c r="D6" i="2" s="1"/>
  <c r="J21" i="1"/>
  <c r="J20" i="1"/>
  <c r="J19" i="1"/>
  <c r="J17" i="1"/>
  <c r="J16" i="1"/>
  <c r="J15" i="1"/>
  <c r="J13" i="1"/>
  <c r="J12" i="1"/>
  <c r="J11" i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7" i="9"/>
  <c r="I18" i="9" l="1"/>
  <c r="I19" i="3"/>
  <c r="B7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 s="1"/>
  <c r="E7" i="2"/>
  <c r="E7" i="9"/>
  <c r="K7" i="9" s="1"/>
  <c r="G7" i="9" s="1"/>
  <c r="I7" i="9" s="1"/>
  <c r="I7" i="2" l="1"/>
  <c r="I16" i="2"/>
  <c r="G16" i="2" s="1"/>
  <c r="B7" i="3"/>
  <c r="E7" i="3" s="1"/>
  <c r="E20" i="3"/>
  <c r="G20" i="3" s="1"/>
  <c r="I20" i="3" s="1"/>
  <c r="B32" i="3"/>
  <c r="E45" i="3"/>
  <c r="H45" i="3" s="1"/>
  <c r="D44" i="3"/>
  <c r="N45" i="3" l="1"/>
  <c r="E32" i="3"/>
  <c r="I32" i="3" s="1"/>
  <c r="G32" i="3" s="1"/>
  <c r="B15" i="2"/>
  <c r="E18" i="1"/>
  <c r="E15" i="2" l="1"/>
  <c r="I15" i="2" l="1"/>
  <c r="G15" i="2" s="1"/>
  <c r="E19" i="3"/>
  <c r="B15" i="9"/>
  <c r="E15" i="9" s="1"/>
  <c r="K15" i="9" s="1"/>
  <c r="G15" i="9" s="1"/>
  <c r="I15" i="9" s="1"/>
  <c r="B48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6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6" i="1" s="1"/>
  <c r="E23" i="2"/>
  <c r="E6" i="2" s="1"/>
  <c r="G14" i="1" l="1"/>
  <c r="G27" i="1" s="1"/>
  <c r="G6" i="1" s="1"/>
  <c r="E23" i="9" l="1"/>
  <c r="E6" i="9" s="1"/>
  <c r="K6" i="9" s="1"/>
  <c r="H44" i="3" l="1"/>
  <c r="E31" i="3"/>
  <c r="E6" i="3"/>
  <c r="J6" i="3" s="1"/>
  <c r="N44" i="3" l="1"/>
  <c r="I31" i="3"/>
  <c r="G31" i="3" s="1"/>
  <c r="D6" i="1" l="1"/>
  <c r="B50" i="3" l="1"/>
  <c r="E11" i="9" l="1"/>
  <c r="E11" i="2"/>
  <c r="B46" i="1"/>
  <c r="K11" i="9" l="1"/>
  <c r="I11" i="2"/>
  <c r="I23" i="2" s="1"/>
  <c r="I6" i="2" s="1"/>
  <c r="G11" i="2"/>
  <c r="G23" i="2" s="1"/>
  <c r="G6" i="2" s="1"/>
  <c r="K23" i="9" l="1"/>
  <c r="G11" i="9"/>
  <c r="B49" i="6"/>
  <c r="B47" i="4"/>
  <c r="B37" i="2"/>
  <c r="I11" i="9" l="1"/>
  <c r="I23" i="9" s="1"/>
  <c r="I6" i="9" s="1"/>
  <c r="G23" i="9"/>
  <c r="G6" i="9" s="1"/>
  <c r="J7" i="3" l="1"/>
  <c r="H6" i="1" l="1"/>
  <c r="M6" i="1" s="1"/>
  <c r="K6" i="1" s="1"/>
  <c r="H14" i="1"/>
  <c r="M14" i="1" s="1"/>
  <c r="H27" i="1" l="1"/>
  <c r="M27" i="1"/>
  <c r="K14" i="1"/>
  <c r="K27" i="1" s="1"/>
  <c r="E7" i="1" s="1"/>
  <c r="H7" i="1" s="1"/>
  <c r="M7" i="1" s="1"/>
  <c r="K7" i="1" s="1"/>
</calcChain>
</file>

<file path=xl/sharedStrings.xml><?xml version="1.0" encoding="utf-8"?>
<sst xmlns="http://schemas.openxmlformats.org/spreadsheetml/2006/main" count="599" uniqueCount="208">
  <si>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</si>
  <si>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</si>
  <si>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</si>
  <si>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</si>
  <si>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</si>
  <si>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</si>
  <si>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</si>
  <si>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</si>
  <si>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</si>
  <si>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</si>
  <si>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</si>
  <si>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</si>
  <si>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</si>
  <si>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</si>
  <si>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</si>
  <si>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</si>
  <si>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</si>
  <si>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</si>
  <si>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</si>
  <si>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</si>
  <si>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</si>
  <si>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</si>
  <si>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</si>
  <si>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</si>
  <si>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</si>
  <si>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</si>
  <si>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</si>
  <si>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</si>
  <si>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</si>
  <si>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</si>
  <si>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</si>
  <si>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</si>
  <si>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</si>
  <si>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</si>
  <si>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</si>
  <si>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</si>
  <si>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</si>
  <si>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</si>
  <si>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</si>
  <si>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</si>
  <si>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</si>
  <si>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</si>
  <si>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</si>
  <si>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</si>
  <si>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</si>
  <si>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</si>
  <si>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</si>
  <si>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</si>
  <si>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</si>
  <si>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</si>
  <si>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</si>
  <si>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</si>
  <si>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</si>
  <si>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</si>
  <si>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</si>
  <si>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</si>
  <si>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</si>
  <si>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</si>
  <si>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</si>
  <si>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</si>
  <si>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</si>
  <si>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</si>
  <si>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</si>
  <si>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</si>
  <si>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</si>
  <si>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</si>
  <si>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</si>
  <si>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</si>
  <si>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</si>
  <si>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</si>
  <si>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</si>
  <si>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</si>
  <si>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</si>
  <si>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</si>
  <si>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</si>
  <si>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</si>
  <si>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</si>
  <si>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</si>
  <si>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</si>
  <si>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</si>
  <si>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</si>
  <si>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</si>
  <si>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</si>
  <si>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</si>
  <si>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</si>
  <si>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</si>
  <si>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t>Million Pounds</t>
  </si>
  <si>
    <t xml:space="preserve">food </t>
  </si>
  <si>
    <t>1,000 acres</t>
  </si>
  <si>
    <t>Pounds/acre</t>
  </si>
  <si>
    <t xml:space="preserve">      Million pounds</t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</si>
  <si>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</si>
  <si>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</si>
  <si>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</si>
  <si>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</si>
  <si>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</si>
  <si>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</si>
  <si>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</si>
  <si>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</si>
  <si>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</si>
  <si>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</si>
  <si>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</si>
  <si>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</si>
  <si>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</si>
  <si>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</si>
  <si>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</si>
  <si>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</si>
  <si>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</si>
  <si>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</si>
  <si>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</si>
  <si>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</si>
  <si>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</si>
  <si>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</si>
  <si>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</si>
  <si>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</si>
  <si>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</si>
  <si>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</si>
  <si>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</si>
  <si>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</si>
  <si>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</si>
  <si>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</si>
  <si>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</si>
  <si>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</si>
  <si>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</si>
  <si>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</si>
  <si>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</si>
  <si>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</si>
  <si>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</si>
  <si>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</si>
  <si>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</si>
  <si>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</si>
  <si>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</si>
  <si>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</si>
  <si>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</si>
  <si>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</si>
  <si>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</si>
  <si>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</si>
  <si>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</si>
  <si>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</si>
  <si>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</si>
  <si>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</si>
  <si>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</si>
  <si>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</si>
  <si>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</si>
  <si>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</si>
  <si>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</si>
  <si>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</si>
  <si>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</si>
  <si>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t>Production marketing year</t>
  </si>
  <si>
    <t>Oilseed, rapeseed</t>
  </si>
  <si>
    <t>Oilseed, soybean</t>
  </si>
  <si>
    <t>Oilseed, sunflowerseed</t>
  </si>
  <si>
    <t>Oilseed, other</t>
  </si>
  <si>
    <t>2017/2018</t>
  </si>
  <si>
    <t>2018/2019</t>
  </si>
  <si>
    <t>2019/2020</t>
  </si>
  <si>
    <t>2020/2021</t>
  </si>
  <si>
    <t>2021/2022</t>
  </si>
  <si>
    <t>July 2022/2023*</t>
  </si>
  <si>
    <t>2022/23</t>
  </si>
  <si>
    <t>Soybean oil</t>
  </si>
  <si>
    <t>Corn oil</t>
  </si>
  <si>
    <t>Canola oil</t>
  </si>
  <si>
    <t>White grease</t>
  </si>
  <si>
    <t>Yellow grease</t>
  </si>
  <si>
    <t>Month</t>
  </si>
  <si>
    <t>Nov 2021</t>
  </si>
  <si>
    <t>Oct 2021</t>
  </si>
  <si>
    <t>Dec 2021</t>
  </si>
  <si>
    <t>Jan 2022</t>
  </si>
  <si>
    <t>Feb 2022</t>
  </si>
  <si>
    <t>Mar 2022</t>
  </si>
  <si>
    <t>Apr 2022</t>
  </si>
  <si>
    <t>May 2022</t>
  </si>
  <si>
    <t>W</t>
  </si>
  <si>
    <t>Tallow (beef)</t>
  </si>
  <si>
    <t>July 2022/23*</t>
  </si>
  <si>
    <t>Food and feed waste consumption</t>
  </si>
  <si>
    <t>Aug 2022/23*</t>
  </si>
  <si>
    <t>Aug 2022/2023*</t>
  </si>
  <si>
    <t>2022/23*</t>
  </si>
  <si>
    <t>Period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</si>
  <si>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</si>
  <si>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</si>
  <si>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</si>
  <si>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</si>
  <si>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</si>
  <si>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</si>
  <si>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</si>
  <si>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</si>
  <si>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</si>
  <si>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</si>
  <si>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</si>
  <si>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</si>
  <si>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</si>
  <si>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</si>
  <si>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</si>
  <si>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</si>
  <si>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Note: W - Withheld to avoid disclosure of individual company data.</t>
  </si>
  <si>
    <t>A 36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</si>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</sst>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_)"/>
    <numFmt numFmtId="173" formatCode="0.0%"/>
    <numFmt numFmtId="174" formatCode="_(* #,##0.00_);_(* \(#,##0.00\);_(* &quot;-&quot;_);_(@_)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b/>
      <sz val="11"/>
      <color theme="1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24" fillId="0" borderId="0"/>
    <xf numFmtId="0" fontId="9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11" fillId="0" borderId="0" xfId="8" applyFont="1"/>
    <xf numFmtId="0" fontId="12" fillId="0" borderId="0" xfId="8" applyFont="1"/>
    <xf numFmtId="0" fontId="17" fillId="0" borderId="0" xfId="8" applyFont="1" applyFill="1"/>
    <xf numFmtId="0" fontId="18" fillId="0" borderId="0" xfId="8" applyFont="1"/>
    <xf numFmtId="169" fontId="19" fillId="0" borderId="0" xfId="1" applyNumberFormat="1" applyFont="1" applyFill="1" applyAlignment="1">
      <alignment horizontal="right" indent="1"/>
    </xf>
    <xf numFmtId="169" fontId="19" fillId="0" borderId="0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right" indent="1"/>
    </xf>
    <xf numFmtId="0" fontId="25" fillId="0" borderId="0" xfId="7" applyFont="1" applyAlignment="1">
      <alignment horizontal="left"/>
    </xf>
    <xf numFmtId="0" fontId="26" fillId="0" borderId="0" xfId="5" applyFont="1" applyAlignment="1" applyProtection="1"/>
    <xf numFmtId="14" fontId="25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9" fillId="0" borderId="0" xfId="7" quotePrefix="1" applyFont="1" applyAlignment="1">
      <alignment horizontal="left"/>
    </xf>
    <xf numFmtId="0" fontId="19" fillId="0" borderId="0" xfId="8" applyFont="1" applyBorder="1" applyAlignment="1">
      <alignment wrapText="1"/>
    </xf>
    <xf numFmtId="169" fontId="19" fillId="0" borderId="0" xfId="1" applyNumberFormat="1" applyFont="1" applyFill="1" applyBorder="1" applyAlignment="1">
      <alignment horizontal="right"/>
    </xf>
    <xf numFmtId="169" fontId="19" fillId="0" borderId="0" xfId="0" applyNumberFormat="1" applyFont="1" applyFill="1"/>
    <xf numFmtId="2" fontId="19" fillId="0" borderId="1" xfId="0" applyNumberFormat="1" applyFont="1" applyFill="1" applyBorder="1" applyAlignment="1">
      <alignment horizontal="right" indent="2"/>
    </xf>
    <xf numFmtId="0" fontId="19" fillId="0" borderId="1" xfId="0" applyFont="1" applyFill="1" applyBorder="1"/>
    <xf numFmtId="0" fontId="0" fillId="0" borderId="0" xfId="0" applyFill="1"/>
    <xf numFmtId="0" fontId="19" fillId="0" borderId="0" xfId="0" applyFont="1" applyFill="1"/>
    <xf numFmtId="0" fontId="19" fillId="0" borderId="2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0" fillId="0" borderId="2" xfId="0" applyFill="1" applyBorder="1"/>
    <xf numFmtId="0" fontId="19" fillId="0" borderId="0" xfId="0" applyFont="1" applyFill="1" applyBorder="1"/>
    <xf numFmtId="0" fontId="19" fillId="0" borderId="2" xfId="0" applyFont="1" applyFill="1" applyBorder="1" applyAlignment="1">
      <alignment horizontal="left"/>
    </xf>
    <xf numFmtId="0" fontId="19" fillId="0" borderId="0" xfId="0" applyFont="1" applyFill="1" applyAlignment="1">
      <alignment horizontal="right"/>
    </xf>
    <xf numFmtId="16" fontId="19" fillId="0" borderId="1" xfId="0" quotePrefix="1" applyNumberFormat="1" applyFont="1" applyFill="1" applyBorder="1"/>
    <xf numFmtId="16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0" fillId="0" borderId="3" xfId="0" quotePrefix="1" applyFont="1" applyFill="1" applyBorder="1" applyAlignment="1">
      <alignment horizontal="center"/>
    </xf>
    <xf numFmtId="0" fontId="20" fillId="0" borderId="0" xfId="0" quotePrefix="1" applyFont="1" applyFill="1" applyAlignment="1">
      <alignment horizontal="right"/>
    </xf>
    <xf numFmtId="167" fontId="19" fillId="0" borderId="0" xfId="0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left"/>
    </xf>
    <xf numFmtId="165" fontId="19" fillId="0" borderId="0" xfId="1" applyNumberFormat="1" applyFont="1" applyFill="1" applyAlignment="1">
      <alignment horizontal="center"/>
    </xf>
    <xf numFmtId="3" fontId="19" fillId="0" borderId="0" xfId="1" applyNumberFormat="1" applyFont="1" applyFill="1" applyBorder="1" applyAlignment="1">
      <alignment horizontal="right" indent="1"/>
    </xf>
    <xf numFmtId="164" fontId="19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/>
    <xf numFmtId="169" fontId="19" fillId="0" borderId="0" xfId="1" quotePrefix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center"/>
    </xf>
    <xf numFmtId="164" fontId="19" fillId="0" borderId="0" xfId="1" quotePrefix="1" applyNumberFormat="1" applyFont="1" applyFill="1" applyBorder="1" applyAlignment="1">
      <alignment horizontal="center"/>
    </xf>
    <xf numFmtId="169" fontId="19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9" fillId="0" borderId="0" xfId="0" applyNumberFormat="1" applyFont="1" applyFill="1"/>
    <xf numFmtId="169" fontId="19" fillId="0" borderId="1" xfId="1" applyNumberFormat="1" applyFont="1" applyFill="1" applyBorder="1" applyAlignment="1">
      <alignment horizontal="right" indent="1"/>
    </xf>
    <xf numFmtId="164" fontId="19" fillId="0" borderId="0" xfId="1" applyNumberFormat="1" applyFont="1" applyFill="1"/>
    <xf numFmtId="14" fontId="19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9" fillId="0" borderId="0" xfId="1" applyNumberFormat="1" applyFont="1" applyFill="1" applyAlignment="1">
      <alignment horizontal="right" indent="2"/>
    </xf>
    <xf numFmtId="3" fontId="19" fillId="0" borderId="0" xfId="1" applyNumberFormat="1" applyFont="1" applyFill="1" applyAlignment="1">
      <alignment horizontal="right" indent="1"/>
    </xf>
    <xf numFmtId="3" fontId="19" fillId="0" borderId="0" xfId="1" applyNumberFormat="1" applyFont="1" applyFill="1" applyAlignment="1">
      <alignment horizontal="center"/>
    </xf>
    <xf numFmtId="0" fontId="25" fillId="0" borderId="0" xfId="0" applyFont="1" applyFill="1" applyBorder="1"/>
    <xf numFmtId="169" fontId="19" fillId="0" borderId="0" xfId="1" applyNumberFormat="1" applyFont="1" applyFill="1" applyBorder="1" applyAlignment="1">
      <alignment horizontal="right" indent="2"/>
    </xf>
    <xf numFmtId="169" fontId="19" fillId="0" borderId="1" xfId="1" applyNumberFormat="1" applyFont="1" applyFill="1" applyBorder="1" applyAlignment="1">
      <alignment horizontal="right" indent="2"/>
    </xf>
    <xf numFmtId="0" fontId="21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9" fillId="0" borderId="0" xfId="0" applyNumberFormat="1" applyFont="1" applyFill="1" applyBorder="1"/>
    <xf numFmtId="169" fontId="19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right"/>
    </xf>
    <xf numFmtId="16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right" indent="2"/>
    </xf>
    <xf numFmtId="170" fontId="19" fillId="0" borderId="0" xfId="0" applyNumberFormat="1" applyFont="1" applyFill="1" applyBorder="1"/>
    <xf numFmtId="43" fontId="19" fillId="0" borderId="0" xfId="1" quotePrefix="1" applyNumberFormat="1" applyFont="1" applyFill="1" applyBorder="1" applyAlignment="1">
      <alignment horizontal="center"/>
    </xf>
    <xf numFmtId="166" fontId="19" fillId="0" borderId="0" xfId="1" quotePrefix="1" applyNumberFormat="1" applyFont="1" applyFill="1" applyBorder="1" applyAlignment="1">
      <alignment horizontal="center"/>
    </xf>
    <xf numFmtId="43" fontId="19" fillId="0" borderId="0" xfId="1" quotePrefix="1" applyFont="1" applyFill="1" applyBorder="1" applyAlignment="1">
      <alignment horizontal="center"/>
    </xf>
    <xf numFmtId="43" fontId="19" fillId="0" borderId="0" xfId="1" applyNumberFormat="1" applyFont="1" applyFill="1" applyBorder="1" applyAlignment="1">
      <alignment horizontal="center"/>
    </xf>
    <xf numFmtId="0" fontId="25" fillId="0" borderId="0" xfId="0" quotePrefix="1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3" xfId="0" quotePrefix="1" applyFont="1" applyFill="1" applyBorder="1" applyAlignment="1"/>
    <xf numFmtId="0" fontId="20" fillId="0" borderId="3" xfId="0" applyFont="1" applyFill="1" applyBorder="1" applyAlignment="1"/>
    <xf numFmtId="43" fontId="19" fillId="0" borderId="0" xfId="1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43" fontId="19" fillId="0" borderId="0" xfId="0" applyNumberFormat="1" applyFont="1" applyFill="1"/>
    <xf numFmtId="0" fontId="14" fillId="0" borderId="0" xfId="0" applyFont="1" applyFill="1"/>
    <xf numFmtId="2" fontId="0" fillId="0" borderId="0" xfId="0" applyNumberFormat="1" applyFill="1"/>
    <xf numFmtId="165" fontId="19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9" fillId="0" borderId="0" xfId="1" applyFont="1" applyFill="1" applyBorder="1" applyAlignment="1">
      <alignment horizontal="center"/>
    </xf>
    <xf numFmtId="43" fontId="0" fillId="0" borderId="0" xfId="1" applyFont="1" applyFill="1"/>
    <xf numFmtId="0" fontId="23" fillId="0" borderId="0" xfId="0" applyFont="1" applyFill="1" applyAlignment="1">
      <alignment vertical="center"/>
    </xf>
    <xf numFmtId="168" fontId="0" fillId="0" borderId="0" xfId="0" applyNumberFormat="1" applyFill="1"/>
    <xf numFmtId="168" fontId="19" fillId="0" borderId="0" xfId="0" applyNumberFormat="1" applyFont="1" applyFill="1"/>
    <xf numFmtId="2" fontId="19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19" fillId="0" borderId="3" xfId="0" applyFont="1" applyFill="1" applyBorder="1"/>
    <xf numFmtId="0" fontId="19" fillId="0" borderId="0" xfId="0" applyFont="1" applyFill="1" applyBorder="1" applyAlignment="1">
      <alignment horizontal="right"/>
    </xf>
    <xf numFmtId="165" fontId="19" fillId="0" borderId="0" xfId="1" applyNumberFormat="1" applyFont="1" applyFill="1"/>
    <xf numFmtId="37" fontId="19" fillId="0" borderId="0" xfId="1" applyNumberFormat="1" applyFont="1" applyFill="1" applyBorder="1" applyAlignment="1">
      <alignment horizontal="center"/>
    </xf>
    <xf numFmtId="37" fontId="19" fillId="0" borderId="0" xfId="1" applyNumberFormat="1" applyFont="1" applyFill="1" applyBorder="1" applyAlignment="1">
      <alignment horizontal="right" indent="2"/>
    </xf>
    <xf numFmtId="165" fontId="19" fillId="0" borderId="0" xfId="1" applyNumberFormat="1" applyFont="1" applyFill="1" applyBorder="1"/>
    <xf numFmtId="37" fontId="19" fillId="0" borderId="0" xfId="1" applyNumberFormat="1" applyFont="1" applyFill="1" applyBorder="1" applyAlignment="1">
      <alignment horizontal="right" indent="1"/>
    </xf>
    <xf numFmtId="37" fontId="19" fillId="0" borderId="1" xfId="1" applyNumberFormat="1" applyFont="1" applyFill="1" applyBorder="1" applyAlignment="1">
      <alignment horizontal="center"/>
    </xf>
    <xf numFmtId="37" fontId="19" fillId="0" borderId="1" xfId="1" applyNumberFormat="1" applyFont="1" applyFill="1" applyBorder="1" applyAlignment="1">
      <alignment horizontal="right" indent="2"/>
    </xf>
    <xf numFmtId="165" fontId="19" fillId="0" borderId="1" xfId="1" applyNumberFormat="1" applyFont="1" applyFill="1" applyBorder="1"/>
    <xf numFmtId="37" fontId="19" fillId="0" borderId="1" xfId="1" applyNumberFormat="1" applyFont="1" applyFill="1" applyBorder="1" applyAlignment="1">
      <alignment horizontal="right" indent="1"/>
    </xf>
    <xf numFmtId="9" fontId="19" fillId="0" borderId="0" xfId="12" applyFont="1" applyFill="1"/>
    <xf numFmtId="1" fontId="19" fillId="0" borderId="0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center"/>
    </xf>
    <xf numFmtId="14" fontId="19" fillId="0" borderId="0" xfId="0" applyNumberFormat="1" applyFont="1" applyFill="1" applyAlignment="1">
      <alignment horizontal="right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3" fontId="0" fillId="0" borderId="0" xfId="0" applyNumberFormat="1" applyFill="1"/>
    <xf numFmtId="169" fontId="19" fillId="0" borderId="0" xfId="1" applyNumberFormat="1" applyFont="1" applyFill="1" applyAlignment="1">
      <alignment horizontal="center"/>
    </xf>
    <xf numFmtId="0" fontId="21" fillId="0" borderId="3" xfId="0" applyFont="1" applyFill="1" applyBorder="1"/>
    <xf numFmtId="164" fontId="19" fillId="0" borderId="3" xfId="0" applyNumberFormat="1" applyFont="1" applyFill="1" applyBorder="1"/>
    <xf numFmtId="43" fontId="19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10" fillId="0" borderId="0" xfId="8" applyFont="1"/>
    <xf numFmtId="0" fontId="10" fillId="0" borderId="0" xfId="8" applyFont="1" applyFill="1"/>
    <xf numFmtId="0" fontId="10" fillId="0" borderId="0" xfId="0" applyFont="1" applyFill="1" applyBorder="1"/>
    <xf numFmtId="0" fontId="10" fillId="0" borderId="0" xfId="0" applyFont="1" applyFill="1"/>
    <xf numFmtId="2" fontId="27" fillId="0" borderId="1" xfId="0" applyNumberFormat="1" applyFont="1" applyFill="1" applyBorder="1" applyAlignment="1">
      <alignment horizontal="right" indent="2"/>
    </xf>
    <xf numFmtId="2" fontId="27" fillId="0" borderId="0" xfId="0" applyNumberFormat="1" applyFont="1" applyFill="1" applyBorder="1" applyAlignment="1">
      <alignment horizontal="right" indent="2"/>
    </xf>
    <xf numFmtId="2" fontId="28" fillId="0" borderId="0" xfId="0" applyNumberFormat="1" applyFont="1" applyFill="1" applyBorder="1" applyAlignment="1">
      <alignment horizontal="right" indent="2"/>
    </xf>
    <xf numFmtId="4" fontId="29" fillId="0" borderId="0" xfId="0" applyNumberFormat="1" applyFont="1"/>
    <xf numFmtId="2" fontId="0" fillId="0" borderId="0" xfId="0" applyNumberFormat="1" applyAlignment="1">
      <alignment horizontal="right"/>
    </xf>
    <xf numFmtId="2" fontId="3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right"/>
    </xf>
    <xf numFmtId="172" fontId="3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73" fontId="14" fillId="0" borderId="0" xfId="12" applyNumberFormat="1" applyFont="1" applyFill="1"/>
    <xf numFmtId="2" fontId="10" fillId="0" borderId="0" xfId="0" applyNumberFormat="1" applyFont="1" applyFill="1" applyAlignment="1">
      <alignment horizontal="right"/>
    </xf>
    <xf numFmtId="0" fontId="19" fillId="0" borderId="0" xfId="0" applyFont="1" applyAlignment="1">
      <alignment vertical="center"/>
    </xf>
    <xf numFmtId="41" fontId="27" fillId="0" borderId="0" xfId="0" applyNumberFormat="1" applyFont="1"/>
    <xf numFmtId="0" fontId="27" fillId="0" borderId="0" xfId="0" applyFont="1"/>
    <xf numFmtId="0" fontId="25" fillId="0" borderId="1" xfId="0" applyFont="1" applyBorder="1"/>
    <xf numFmtId="0" fontId="25" fillId="0" borderId="1" xfId="0" applyFont="1" applyBorder="1" applyAlignment="1">
      <alignment wrapText="1"/>
    </xf>
    <xf numFmtId="3" fontId="27" fillId="0" borderId="0" xfId="0" applyNumberFormat="1" applyFont="1"/>
    <xf numFmtId="3" fontId="19" fillId="0" borderId="0" xfId="0" applyNumberFormat="1" applyFont="1"/>
    <xf numFmtId="0" fontId="25" fillId="0" borderId="0" xfId="0" applyFont="1" applyBorder="1"/>
    <xf numFmtId="4" fontId="27" fillId="0" borderId="0" xfId="0" applyNumberFormat="1" applyFont="1"/>
    <xf numFmtId="0" fontId="19" fillId="0" borderId="0" xfId="0" applyFont="1"/>
    <xf numFmtId="17" fontId="19" fillId="0" borderId="0" xfId="0" applyNumberFormat="1" applyFont="1" applyAlignment="1">
      <alignment horizontal="left"/>
    </xf>
    <xf numFmtId="3" fontId="0" fillId="0" borderId="0" xfId="0" applyNumberFormat="1"/>
    <xf numFmtId="4" fontId="0" fillId="0" borderId="0" xfId="0" applyNumberFormat="1"/>
    <xf numFmtId="169" fontId="19" fillId="0" borderId="1" xfId="1" applyNumberFormat="1" applyFont="1" applyBorder="1" applyAlignment="1">
      <alignment horizontal="right" indent="1"/>
    </xf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69" fontId="19" fillId="0" borderId="0" xfId="1" applyNumberFormat="1" applyFont="1" applyBorder="1" applyAlignment="1">
      <alignment horizontal="right" indent="1"/>
    </xf>
    <xf numFmtId="4" fontId="19" fillId="0" borderId="0" xfId="0" applyNumberFormat="1" applyFont="1"/>
    <xf numFmtId="0" fontId="25" fillId="0" borderId="1" xfId="0" applyFont="1" applyFill="1" applyBorder="1"/>
    <xf numFmtId="9" fontId="0" fillId="0" borderId="0" xfId="12" applyFont="1"/>
    <xf numFmtId="17" fontId="19" fillId="0" borderId="0" xfId="0" quotePrefix="1" applyNumberFormat="1" applyFont="1" applyAlignment="1">
      <alignment horizontal="left" vertical="center"/>
    </xf>
    <xf numFmtId="3" fontId="27" fillId="0" borderId="0" xfId="12" applyNumberFormat="1" applyFont="1"/>
    <xf numFmtId="3" fontId="0" fillId="0" borderId="0" xfId="12" applyNumberFormat="1" applyFont="1"/>
    <xf numFmtId="0" fontId="25" fillId="0" borderId="0" xfId="0" applyFont="1" applyBorder="1" applyAlignment="1"/>
    <xf numFmtId="3" fontId="19" fillId="0" borderId="0" xfId="12" applyNumberFormat="1" applyFont="1" applyBorder="1"/>
    <xf numFmtId="3" fontId="10" fillId="0" borderId="0" xfId="12" applyNumberFormat="1" applyFont="1" applyBorder="1"/>
    <xf numFmtId="165" fontId="32" fillId="0" borderId="0" xfId="1" applyNumberFormat="1" applyFont="1" applyBorder="1" applyAlignment="1">
      <alignment horizontal="right" wrapText="1"/>
    </xf>
    <xf numFmtId="3" fontId="19" fillId="0" borderId="0" xfId="0" applyNumberFormat="1" applyFont="1" applyBorder="1"/>
    <xf numFmtId="0" fontId="0" fillId="0" borderId="0" xfId="0" applyFont="1" applyBorder="1"/>
    <xf numFmtId="3" fontId="0" fillId="0" borderId="0" xfId="0" applyNumberFormat="1" applyFont="1" applyBorder="1"/>
    <xf numFmtId="3" fontId="27" fillId="0" borderId="0" xfId="12" applyNumberFormat="1" applyFont="1" applyAlignment="1">
      <alignment horizontal="right"/>
    </xf>
    <xf numFmtId="0" fontId="10" fillId="0" borderId="0" xfId="20"/>
    <xf numFmtId="17" fontId="19" fillId="0" borderId="0" xfId="20" applyNumberFormat="1" applyFont="1" applyAlignment="1">
      <alignment horizontal="left"/>
    </xf>
    <xf numFmtId="4" fontId="10" fillId="0" borderId="0" xfId="20" applyNumberFormat="1"/>
    <xf numFmtId="41" fontId="10" fillId="0" borderId="0" xfId="20" applyNumberFormat="1"/>
    <xf numFmtId="174" fontId="27" fillId="0" borderId="0" xfId="20" applyNumberFormat="1" applyFont="1"/>
    <xf numFmtId="0" fontId="10" fillId="0" borderId="0" xfId="20" applyAlignment="1">
      <alignment horizontal="center"/>
    </xf>
    <xf numFmtId="0" fontId="25" fillId="0" borderId="1" xfId="20" applyFont="1" applyBorder="1" applyAlignment="1">
      <alignment wrapText="1"/>
    </xf>
    <xf numFmtId="0" fontId="25" fillId="0" borderId="1" xfId="20" applyFont="1" applyBorder="1"/>
    <xf numFmtId="0" fontId="19" fillId="0" borderId="0" xfId="20" applyFont="1" applyAlignment="1">
      <alignment vertical="center"/>
    </xf>
    <xf numFmtId="3" fontId="27" fillId="0" borderId="0" xfId="20" applyNumberFormat="1" applyFont="1"/>
    <xf numFmtId="3" fontId="19" fillId="0" borderId="0" xfId="20" applyNumberFormat="1" applyFont="1"/>
    <xf numFmtId="3" fontId="10" fillId="0" borderId="0" xfId="20" applyNumberFormat="1"/>
    <xf numFmtId="0" fontId="27" fillId="0" borderId="0" xfId="20" applyFont="1"/>
    <xf numFmtId="17" fontId="10" fillId="0" borderId="0" xfId="20" applyNumberFormat="1" applyAlignment="1">
      <alignment horizontal="left"/>
    </xf>
    <xf numFmtId="0" fontId="25" fillId="0" borderId="1" xfId="0" applyFont="1" applyBorder="1" applyAlignment="1"/>
    <xf numFmtId="0" fontId="31" fillId="0" borderId="1" xfId="34" applyFont="1" applyBorder="1" applyAlignment="1">
      <alignment horizontal="left" wrapText="1"/>
    </xf>
    <xf numFmtId="37" fontId="0" fillId="0" borderId="0" xfId="0" applyNumberFormat="1" applyFill="1"/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2" xfId="0" quotePrefix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2" xr:uid="{5440E113-77DF-4DAD-9026-4858CCB03DB9}"/>
    <cellStyle name="Normal 11 4" xfId="34" xr:uid="{A40234E1-3048-4174-AD15-1523030C134E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A6400"/>
      <color rgb="FFFB0BCD"/>
      <color rgb="FF0000FF"/>
      <color rgb="FFFFCF01"/>
      <color rgb="FFFFFF00"/>
      <color rgb="FFBE4D4A"/>
      <color rgb="FFB7DEE8"/>
      <color rgb="FF0066FF"/>
      <color rgb="FFD99694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production and yield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467771342069E-2"/>
          <c:y val="0.16972665429158801"/>
          <c:w val="0.8842046262861567"/>
          <c:h val="0.540146283797858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</c:strCache>
            </c:strRef>
          </c:cat>
          <c:val>
            <c:numRef>
              <c:f>'Figure 1'!$B$2:$B$12</c:f>
              <c:numCache>
                <c:formatCode>#,##0</c:formatCode>
                <c:ptCount val="11"/>
                <c:pt idx="0">
                  <c:v>3042.0439999999999</c:v>
                </c:pt>
                <c:pt idx="1">
                  <c:v>3357.0039999999999</c:v>
                </c:pt>
                <c:pt idx="2">
                  <c:v>3928.07</c:v>
                </c:pt>
                <c:pt idx="3">
                  <c:v>3926.779</c:v>
                </c:pt>
                <c:pt idx="4">
                  <c:v>4296.4960000000001</c:v>
                </c:pt>
                <c:pt idx="5">
                  <c:v>4411.6329999999998</c:v>
                </c:pt>
                <c:pt idx="6">
                  <c:v>4428.1499999999996</c:v>
                </c:pt>
                <c:pt idx="7">
                  <c:v>3551.9079999999999</c:v>
                </c:pt>
                <c:pt idx="8">
                  <c:v>4216.3019999999997</c:v>
                </c:pt>
                <c:pt idx="9">
                  <c:v>4435.232</c:v>
                </c:pt>
                <c:pt idx="10">
                  <c:v>4530.5609999999997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9-44F9-A6DB-492C8051E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5"/>
          <c:order val="1"/>
          <c:tx>
            <c:strRef>
              <c:f>'Figure 1'!$C$1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</c:strCache>
            </c:strRef>
          </c:cat>
          <c:val>
            <c:numRef>
              <c:f>'Figure 1'!$C$2:$C$12</c:f>
              <c:numCache>
                <c:formatCode>#,##0.00</c:formatCode>
                <c:ptCount val="11"/>
                <c:pt idx="0">
                  <c:v>39.951197730615668</c:v>
                </c:pt>
                <c:pt idx="1">
                  <c:v>44.036099851770224</c:v>
                </c:pt>
                <c:pt idx="2">
                  <c:v>47.548994685937707</c:v>
                </c:pt>
                <c:pt idx="3">
                  <c:v>48.038694918157127</c:v>
                </c:pt>
                <c:pt idx="4">
                  <c:v>51.949024254588544</c:v>
                </c:pt>
                <c:pt idx="5">
                  <c:v>49.268868240602174</c:v>
                </c:pt>
                <c:pt idx="6">
                  <c:v>50.553120076717583</c:v>
                </c:pt>
                <c:pt idx="7">
                  <c:v>47.397323156167019</c:v>
                </c:pt>
                <c:pt idx="8">
                  <c:v>51.042964541239421</c:v>
                </c:pt>
                <c:pt idx="9">
                  <c:v>51.374137052309692</c:v>
                </c:pt>
                <c:pt idx="10">
                  <c:v>51.949421517927782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39-44F9-A6DB-492C8051E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32943"/>
        <c:axId val="43003710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034735339737654"/>
              <c:y val="0.83370412031829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430037103"/>
        <c:scaling>
          <c:orientation val="minMax"/>
          <c:max val="5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Bushels per acre</a:t>
                </a:r>
              </a:p>
            </c:rich>
          </c:tx>
          <c:layout>
            <c:manualLayout>
              <c:xMode val="edge"/>
              <c:yMode val="edge"/>
              <c:x val="0.85399102963620854"/>
              <c:y val="0.10168584005683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032943"/>
        <c:crosses val="max"/>
        <c:crossBetween val="between"/>
        <c:majorUnit val="5"/>
      </c:valAx>
      <c:catAx>
        <c:axId val="43003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37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312880560197872E-2"/>
          <c:y val="0.12475838402827188"/>
          <c:w val="0.74781151990729666"/>
          <c:h val="5.31828194700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 of 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rated good-to-excellent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467771342069E-2"/>
          <c:y val="0.16972665429158801"/>
          <c:w val="0.8842046262861567"/>
          <c:h val="0.53661778516217584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2'!$B$2:$B$17</c:f>
              <c:numCache>
                <c:formatCode>General</c:formatCode>
                <c:ptCount val="16"/>
                <c:pt idx="0">
                  <c:v>72</c:v>
                </c:pt>
                <c:pt idx="1">
                  <c:v>70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74</c:v>
                </c:pt>
                <c:pt idx="1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0-4F3A-A996-142DB01EFA4C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2'!$C$2:$C$17</c:f>
              <c:numCache>
                <c:formatCode>General</c:formatCode>
                <c:ptCount val="16"/>
                <c:pt idx="0">
                  <c:v>66</c:v>
                </c:pt>
                <c:pt idx="1">
                  <c:v>64</c:v>
                </c:pt>
                <c:pt idx="2">
                  <c:v>62</c:v>
                </c:pt>
                <c:pt idx="3">
                  <c:v>61</c:v>
                </c:pt>
                <c:pt idx="4">
                  <c:v>57</c:v>
                </c:pt>
                <c:pt idx="5">
                  <c:v>59</c:v>
                </c:pt>
                <c:pt idx="6">
                  <c:v>60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61</c:v>
                </c:pt>
                <c:pt idx="11">
                  <c:v>60</c:v>
                </c:pt>
                <c:pt idx="12">
                  <c:v>59</c:v>
                </c:pt>
                <c:pt idx="13">
                  <c:v>60</c:v>
                </c:pt>
                <c:pt idx="14">
                  <c:v>60</c:v>
                </c:pt>
                <c:pt idx="1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3-4947-BCA3-C4220C452A63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2'!$D$2:$D$17</c:f>
              <c:numCache>
                <c:formatCode>General</c:formatCode>
                <c:ptCount val="16"/>
                <c:pt idx="0">
                  <c:v>73</c:v>
                </c:pt>
                <c:pt idx="1">
                  <c:v>71</c:v>
                </c:pt>
                <c:pt idx="2">
                  <c:v>71</c:v>
                </c:pt>
                <c:pt idx="3">
                  <c:v>69</c:v>
                </c:pt>
                <c:pt idx="4">
                  <c:v>70</c:v>
                </c:pt>
                <c:pt idx="5">
                  <c:v>70</c:v>
                </c:pt>
                <c:pt idx="6">
                  <c:v>67</c:v>
                </c:pt>
                <c:pt idx="7">
                  <c:v>66</c:v>
                </c:pt>
                <c:pt idx="8">
                  <c:v>65</c:v>
                </c:pt>
                <c:pt idx="9">
                  <c:v>66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3-4947-BCA3-C4220C452A63}"/>
            </c:ext>
          </c:extLst>
        </c:ser>
        <c:ser>
          <c:idx val="3"/>
          <c:order val="3"/>
          <c:tx>
            <c:strRef>
              <c:f>'Figure 2'!$E$1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2'!$E$2:$E$17</c:f>
              <c:numCache>
                <c:formatCode>General</c:formatCode>
                <c:ptCount val="16"/>
                <c:pt idx="0">
                  <c:v>54</c:v>
                </c:pt>
                <c:pt idx="1">
                  <c:v>54</c:v>
                </c:pt>
                <c:pt idx="2">
                  <c:v>53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53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54</c:v>
                </c:pt>
                <c:pt idx="13">
                  <c:v>54</c:v>
                </c:pt>
                <c:pt idx="14">
                  <c:v>55</c:v>
                </c:pt>
                <c:pt idx="1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F3-4947-BCA3-C4220C452A63}"/>
            </c:ext>
          </c:extLst>
        </c:ser>
        <c:ser>
          <c:idx val="4"/>
          <c:order val="4"/>
          <c:tx>
            <c:strRef>
              <c:f>'Figure 2'!$F$1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2'!$F$2:$F$17</c:f>
              <c:numCache>
                <c:formatCode>General</c:formatCode>
                <c:ptCount val="16"/>
                <c:pt idx="0">
                  <c:v>70</c:v>
                </c:pt>
                <c:pt idx="1">
                  <c:v>71</c:v>
                </c:pt>
                <c:pt idx="2">
                  <c:v>71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  <c:pt idx="6">
                  <c:v>73</c:v>
                </c:pt>
                <c:pt idx="7">
                  <c:v>74</c:v>
                </c:pt>
                <c:pt idx="8">
                  <c:v>72</c:v>
                </c:pt>
                <c:pt idx="9">
                  <c:v>69</c:v>
                </c:pt>
                <c:pt idx="10">
                  <c:v>66</c:v>
                </c:pt>
                <c:pt idx="11">
                  <c:v>65</c:v>
                </c:pt>
                <c:pt idx="12">
                  <c:v>63</c:v>
                </c:pt>
                <c:pt idx="13">
                  <c:v>63</c:v>
                </c:pt>
                <c:pt idx="14">
                  <c:v>64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F3-4947-BCA3-C4220C452A63}"/>
            </c:ext>
          </c:extLst>
        </c:ser>
        <c:ser>
          <c:idx val="5"/>
          <c:order val="5"/>
          <c:tx>
            <c:strRef>
              <c:f>'Figure 2'!$G$1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2'!$G$2:$G$17</c:f>
              <c:numCache>
                <c:formatCode>General</c:formatCode>
                <c:ptCount val="16"/>
                <c:pt idx="0">
                  <c:v>60</c:v>
                </c:pt>
                <c:pt idx="1">
                  <c:v>59</c:v>
                </c:pt>
                <c:pt idx="2">
                  <c:v>59</c:v>
                </c:pt>
                <c:pt idx="3">
                  <c:v>60</c:v>
                </c:pt>
                <c:pt idx="4">
                  <c:v>58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56</c:v>
                </c:pt>
                <c:pt idx="9">
                  <c:v>56</c:v>
                </c:pt>
                <c:pt idx="10">
                  <c:v>57</c:v>
                </c:pt>
                <c:pt idx="11">
                  <c:v>57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F3-4947-BCA3-C4220C452A63}"/>
            </c:ext>
          </c:extLst>
        </c:ser>
        <c:ser>
          <c:idx val="6"/>
          <c:order val="6"/>
          <c:tx>
            <c:strRef>
              <c:f>'Figure 2'!$H$1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2'!$H$2:$H$8</c:f>
              <c:numCache>
                <c:formatCode>General</c:formatCode>
                <c:ptCount val="7"/>
                <c:pt idx="0">
                  <c:v>65</c:v>
                </c:pt>
                <c:pt idx="1">
                  <c:v>63</c:v>
                </c:pt>
                <c:pt idx="2">
                  <c:v>62</c:v>
                </c:pt>
                <c:pt idx="3">
                  <c:v>61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CF3-4947-BCA3-C4220C45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Week number</a:t>
                </a:r>
              </a:p>
            </c:rich>
          </c:tx>
          <c:layout>
            <c:manualLayout>
              <c:xMode val="edge"/>
              <c:yMode val="edge"/>
              <c:x val="0.42974888318306531"/>
              <c:y val="0.8464102934557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75"/>
          <c:min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312880560197872E-2"/>
          <c:y val="0.12475838402827188"/>
          <c:w val="0.9"/>
          <c:h val="5.565729707421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Feedstocks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consumed for production of biofuels in 2021/22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10546086788059E-2"/>
          <c:y val="0.25331436005389063"/>
          <c:w val="0.88144638836776135"/>
          <c:h val="0.39468593766143056"/>
        </c:manualLayout>
      </c:layout>
      <c:barChart>
        <c:barDir val="col"/>
        <c:grouping val="clustered"/>
        <c:varyColors val="0"/>
        <c:ser>
          <c:idx val="6"/>
          <c:order val="1"/>
          <c:tx>
            <c:strRef>
              <c:f>'Figure 3'!$G$1</c:f>
              <c:strCache>
                <c:ptCount val="1"/>
                <c:pt idx="0">
                  <c:v>Yellow grease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3'!$G$2:$G$9</c:f>
              <c:numCache>
                <c:formatCode>#,##0</c:formatCode>
                <c:ptCount val="8"/>
                <c:pt idx="0">
                  <c:v>320.89499999999998</c:v>
                </c:pt>
                <c:pt idx="1">
                  <c:v>346.80399999999997</c:v>
                </c:pt>
                <c:pt idx="2">
                  <c:v>367.79199999999997</c:v>
                </c:pt>
                <c:pt idx="3">
                  <c:v>364.40699999999998</c:v>
                </c:pt>
                <c:pt idx="4">
                  <c:v>305.899</c:v>
                </c:pt>
                <c:pt idx="5">
                  <c:v>337.86500000000001</c:v>
                </c:pt>
                <c:pt idx="6">
                  <c:v>402.23500000000001</c:v>
                </c:pt>
                <c:pt idx="7">
                  <c:v>467.03699999999998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6-45C9-B546-A32F3492837B}"/>
            </c:ext>
          </c:extLst>
        </c:ser>
        <c:ser>
          <c:idx val="1"/>
          <c:order val="2"/>
          <c:tx>
            <c:strRef>
              <c:f>'Figure 3'!$C$1</c:f>
              <c:strCache>
                <c:ptCount val="1"/>
                <c:pt idx="0">
                  <c:v>Corn oil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3'!$C$2:$C$9</c:f>
              <c:numCache>
                <c:formatCode>#,##0</c:formatCode>
                <c:ptCount val="8"/>
                <c:pt idx="0">
                  <c:v>217.39599999999999</c:v>
                </c:pt>
                <c:pt idx="1">
                  <c:v>243.87184300000001</c:v>
                </c:pt>
                <c:pt idx="2">
                  <c:v>300.82</c:v>
                </c:pt>
                <c:pt idx="3">
                  <c:v>249.209</c:v>
                </c:pt>
                <c:pt idx="4">
                  <c:v>188.44900000000001</c:v>
                </c:pt>
                <c:pt idx="5">
                  <c:v>212.01</c:v>
                </c:pt>
                <c:pt idx="6">
                  <c:v>210.94499999999999</c:v>
                </c:pt>
                <c:pt idx="7">
                  <c:v>246.16300000000001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C-4ED3-85B1-536B8CE436EA}"/>
            </c:ext>
          </c:extLst>
        </c:ser>
        <c:ser>
          <c:idx val="4"/>
          <c:order val="3"/>
          <c:tx>
            <c:strRef>
              <c:f>'Figure 3'!$E$1</c:f>
              <c:strCache>
                <c:ptCount val="1"/>
                <c:pt idx="0">
                  <c:v>Tallow (beef)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3'!$E$2:$E$9</c:f>
              <c:numCache>
                <c:formatCode>#,##0</c:formatCode>
                <c:ptCount val="8"/>
                <c:pt idx="0">
                  <c:v>140.90899999999999</c:v>
                </c:pt>
                <c:pt idx="1">
                  <c:v>111.976</c:v>
                </c:pt>
                <c:pt idx="2">
                  <c:v>160.22399999999999</c:v>
                </c:pt>
                <c:pt idx="3">
                  <c:v>140.52199999999999</c:v>
                </c:pt>
                <c:pt idx="4">
                  <c:v>130.161</c:v>
                </c:pt>
                <c:pt idx="5">
                  <c:v>127.2</c:v>
                </c:pt>
                <c:pt idx="6">
                  <c:v>129.69200000000001</c:v>
                </c:pt>
                <c:pt idx="7">
                  <c:v>161.744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6-45C9-B546-A32F3492837B}"/>
            </c:ext>
          </c:extLst>
        </c:ser>
        <c:ser>
          <c:idx val="2"/>
          <c:order val="4"/>
          <c:tx>
            <c:strRef>
              <c:f>'Figure 3'!$D$1</c:f>
              <c:strCache>
                <c:ptCount val="1"/>
                <c:pt idx="0">
                  <c:v>Canola oil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3'!$D$2:$D$9</c:f>
              <c:numCache>
                <c:formatCode>#,##0</c:formatCode>
                <c:ptCount val="8"/>
                <c:pt idx="0">
                  <c:v>115.738</c:v>
                </c:pt>
                <c:pt idx="1">
                  <c:v>132.672888</c:v>
                </c:pt>
                <c:pt idx="2">
                  <c:v>126.211</c:v>
                </c:pt>
                <c:pt idx="3">
                  <c:v>63.920999999999999</c:v>
                </c:pt>
                <c:pt idx="4">
                  <c:v>0</c:v>
                </c:pt>
                <c:pt idx="5">
                  <c:v>0</c:v>
                </c:pt>
                <c:pt idx="6">
                  <c:v>100.935</c:v>
                </c:pt>
                <c:pt idx="7">
                  <c:v>120.535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C-4ED3-85B1-536B8CE436EA}"/>
            </c:ext>
          </c:extLst>
        </c:ser>
        <c:ser>
          <c:idx val="5"/>
          <c:order val="5"/>
          <c:tx>
            <c:strRef>
              <c:f>'Figure 3'!$F$1</c:f>
              <c:strCache>
                <c:ptCount val="1"/>
                <c:pt idx="0">
                  <c:v>White grease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3'!$F$2:$F$9</c:f>
              <c:numCache>
                <c:formatCode>#,##0</c:formatCode>
                <c:ptCount val="8"/>
                <c:pt idx="0">
                  <c:v>67.417000000000002</c:v>
                </c:pt>
                <c:pt idx="1">
                  <c:v>48.72</c:v>
                </c:pt>
                <c:pt idx="2">
                  <c:v>51.173999999999999</c:v>
                </c:pt>
                <c:pt idx="3">
                  <c:v>43.414000000000001</c:v>
                </c:pt>
                <c:pt idx="4">
                  <c:v>37.932000000000002</c:v>
                </c:pt>
                <c:pt idx="5">
                  <c:v>47.042999999999999</c:v>
                </c:pt>
                <c:pt idx="6">
                  <c:v>56.66</c:v>
                </c:pt>
                <c:pt idx="7">
                  <c:v>62.811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6-45C9-B546-A32F3492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Soybean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3'!$A$2:$A$9</c:f>
              <c:strCache>
                <c:ptCount val="8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</c:strCache>
            </c:strRef>
          </c:cat>
          <c:val>
            <c:numRef>
              <c:f>'Figure 3'!$B$2:$B$9</c:f>
              <c:numCache>
                <c:formatCode>#,##0</c:formatCode>
                <c:ptCount val="8"/>
                <c:pt idx="0">
                  <c:v>832.42700000000002</c:v>
                </c:pt>
                <c:pt idx="1">
                  <c:v>818.01271279999992</c:v>
                </c:pt>
                <c:pt idx="2">
                  <c:v>937.33500000000004</c:v>
                </c:pt>
                <c:pt idx="3">
                  <c:v>791.38699999999994</c:v>
                </c:pt>
                <c:pt idx="4">
                  <c:v>740.60299999999995</c:v>
                </c:pt>
                <c:pt idx="5">
                  <c:v>908.29</c:v>
                </c:pt>
                <c:pt idx="6">
                  <c:v>838.9</c:v>
                </c:pt>
                <c:pt idx="7">
                  <c:v>855.57100000000003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C-4ED3-85B1-536B8CE4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015952"/>
        <c:axId val="877018448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42672602340994775"/>
              <c:y val="0.77140121641691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1"/>
      </c:catAx>
      <c:valAx>
        <c:axId val="1284457935"/>
        <c:scaling>
          <c:orientation val="minMax"/>
          <c:max val="475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3826602099921E-3"/>
              <c:y val="0.14416765612631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105"/>
      </c:valAx>
      <c:valAx>
        <c:axId val="877018448"/>
        <c:scaling>
          <c:orientation val="minMax"/>
          <c:max val="9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Soybean oil,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million pounds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158301981599957"/>
              <c:y val="0.12049483397908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015952"/>
        <c:crosses val="max"/>
        <c:crossBetween val="between"/>
        <c:majorUnit val="105"/>
      </c:valAx>
      <c:catAx>
        <c:axId val="87701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01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201615469112292"/>
          <c:y val="0.12371607014735087"/>
          <c:w val="0.51596752245183219"/>
          <c:h val="0.10383108090700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World major oilseeds production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127647636391E-3"/>
          <c:y val="2.102925423242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03777872367208E-2"/>
          <c:y val="0.17298072115985502"/>
          <c:w val="0.92427234708986139"/>
          <c:h val="0.51038594134066573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'Figure 4'!$E$1</c:f>
              <c:strCache>
                <c:ptCount val="1"/>
                <c:pt idx="0">
                  <c:v>Oilseed, other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July 2022/2023*</c:v>
                </c:pt>
                <c:pt idx="6">
                  <c:v>Aug 2022/2023*</c:v>
                </c:pt>
              </c:strCache>
            </c:strRef>
          </c:cat>
          <c:val>
            <c:numRef>
              <c:f>'Figure 4'!$E$2:$E$8</c:f>
              <c:numCache>
                <c:formatCode>#,##0.00</c:formatCode>
                <c:ptCount val="7"/>
                <c:pt idx="0">
                  <c:v>116.815</c:v>
                </c:pt>
                <c:pt idx="1">
                  <c:v>114.871</c:v>
                </c:pt>
                <c:pt idx="2">
                  <c:v>116.745</c:v>
                </c:pt>
                <c:pt idx="3">
                  <c:v>115.661</c:v>
                </c:pt>
                <c:pt idx="4">
                  <c:v>118.093</c:v>
                </c:pt>
                <c:pt idx="5">
                  <c:v>121.06</c:v>
                </c:pt>
                <c:pt idx="6">
                  <c:v>119.798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9-4FA3-999A-70759054B364}"/>
            </c:ext>
          </c:extLst>
        </c:ser>
        <c:ser>
          <c:idx val="2"/>
          <c:order val="1"/>
          <c:tx>
            <c:strRef>
              <c:f>'Figure 4'!$D$1</c:f>
              <c:strCache>
                <c:ptCount val="1"/>
                <c:pt idx="0">
                  <c:v>Oilseed, soybean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July 2022/2023*</c:v>
                </c:pt>
                <c:pt idx="6">
                  <c:v>Aug 2022/2023*</c:v>
                </c:pt>
              </c:strCache>
            </c:strRef>
          </c:cat>
          <c:val>
            <c:numRef>
              <c:f>'Figure 4'!$D$2:$D$8</c:f>
              <c:numCache>
                <c:formatCode>#,##0.00</c:formatCode>
                <c:ptCount val="7"/>
                <c:pt idx="0">
                  <c:v>343.73700000000002</c:v>
                </c:pt>
                <c:pt idx="1">
                  <c:v>362.44299999999998</c:v>
                </c:pt>
                <c:pt idx="2">
                  <c:v>340.15199999999999</c:v>
                </c:pt>
                <c:pt idx="3">
                  <c:v>368.44400000000002</c:v>
                </c:pt>
                <c:pt idx="4">
                  <c:v>352.74200000000002</c:v>
                </c:pt>
                <c:pt idx="5">
                  <c:v>391.39600000000002</c:v>
                </c:pt>
                <c:pt idx="6">
                  <c:v>392.79199999999997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9-4FA3-999A-70759054B364}"/>
            </c:ext>
          </c:extLst>
        </c:ser>
        <c:ser>
          <c:idx val="5"/>
          <c:order val="2"/>
          <c:tx>
            <c:strRef>
              <c:f>'Figure 4'!$C$1</c:f>
              <c:strCache>
                <c:ptCount val="1"/>
                <c:pt idx="0">
                  <c:v>Oilseed, sunflowerseed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July 2022/2023*</c:v>
                </c:pt>
                <c:pt idx="6">
                  <c:v>Aug 2022/2023*</c:v>
                </c:pt>
              </c:strCache>
            </c:strRef>
          </c:cat>
          <c:val>
            <c:numRef>
              <c:f>'Figure 4'!$C$2:$C$8</c:f>
              <c:numCache>
                <c:formatCode>#,##0.00</c:formatCode>
                <c:ptCount val="7"/>
                <c:pt idx="0">
                  <c:v>48.01</c:v>
                </c:pt>
                <c:pt idx="1">
                  <c:v>50.658999999999999</c:v>
                </c:pt>
                <c:pt idx="2">
                  <c:v>54.2</c:v>
                </c:pt>
                <c:pt idx="3">
                  <c:v>49.273000000000003</c:v>
                </c:pt>
                <c:pt idx="4">
                  <c:v>57.319000000000003</c:v>
                </c:pt>
                <c:pt idx="5">
                  <c:v>50.384</c:v>
                </c:pt>
                <c:pt idx="6">
                  <c:v>50.929000000000002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9-4FA3-999A-70759054B364}"/>
            </c:ext>
          </c:extLst>
        </c:ser>
        <c:ser>
          <c:idx val="4"/>
          <c:order val="3"/>
          <c:tx>
            <c:strRef>
              <c:f>'Figure 4'!$B$1</c:f>
              <c:strCache>
                <c:ptCount val="1"/>
                <c:pt idx="0">
                  <c:v>Oilseed, rapeseed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July 2022/2023*</c:v>
                </c:pt>
                <c:pt idx="6">
                  <c:v>Aug 2022/2023*</c:v>
                </c:pt>
              </c:strCache>
            </c:strRef>
          </c:cat>
          <c:val>
            <c:numRef>
              <c:f>'Figure 4'!$B$2:$B$8</c:f>
              <c:numCache>
                <c:formatCode>#,##0.00</c:formatCode>
                <c:ptCount val="7"/>
                <c:pt idx="0">
                  <c:v>75.322999999999993</c:v>
                </c:pt>
                <c:pt idx="1">
                  <c:v>72.927000000000007</c:v>
                </c:pt>
                <c:pt idx="2">
                  <c:v>69.695999999999998</c:v>
                </c:pt>
                <c:pt idx="3">
                  <c:v>73.881</c:v>
                </c:pt>
                <c:pt idx="4">
                  <c:v>72.311000000000007</c:v>
                </c:pt>
                <c:pt idx="5">
                  <c:v>80.23</c:v>
                </c:pt>
                <c:pt idx="6">
                  <c:v>82.48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9-4FA3-999A-70759054B3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42177353"/>
              <c:y val="0.84102794442361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458644592503E-3"/>
              <c:y val="0.10273429362996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38962918096775"/>
          <c:y val="7.9936101737282841E-2"/>
          <c:w val="0.7359558070915635"/>
          <c:h val="0.10052597591967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5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European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Union sunflower supply and demand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38890352756531E-2"/>
          <c:y val="0.20536261086578922"/>
          <c:w val="0.91479454310472397"/>
          <c:h val="0.5013769638201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July 2022/23*</c:v>
                </c:pt>
                <c:pt idx="11">
                  <c:v>Aug 2022/23*</c:v>
                </c:pt>
              </c:strCache>
            </c:strRef>
          </c:cat>
          <c:val>
            <c:numRef>
              <c:f>'Figure 5'!$D$2:$D$13</c:f>
              <c:numCache>
                <c:formatCode>#,##0</c:formatCode>
                <c:ptCount val="12"/>
                <c:pt idx="0">
                  <c:v>6110</c:v>
                </c:pt>
                <c:pt idx="1">
                  <c:v>7565</c:v>
                </c:pt>
                <c:pt idx="2">
                  <c:v>7650</c:v>
                </c:pt>
                <c:pt idx="3">
                  <c:v>7200</c:v>
                </c:pt>
                <c:pt idx="4">
                  <c:v>7893</c:v>
                </c:pt>
                <c:pt idx="5">
                  <c:v>8890</c:v>
                </c:pt>
                <c:pt idx="6">
                  <c:v>8691</c:v>
                </c:pt>
                <c:pt idx="7">
                  <c:v>8630</c:v>
                </c:pt>
                <c:pt idx="8">
                  <c:v>8200</c:v>
                </c:pt>
                <c:pt idx="9">
                  <c:v>10000</c:v>
                </c:pt>
                <c:pt idx="10">
                  <c:v>10300</c:v>
                </c:pt>
                <c:pt idx="11">
                  <c:v>10300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9-414D-B5D7-5E05103F3F29}"/>
            </c:ext>
          </c:extLst>
        </c:ser>
        <c:ser>
          <c:idx val="1"/>
          <c:order val="1"/>
          <c:tx>
            <c:strRef>
              <c:f>'Figure 5'!$E$1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5'!$A$2:$A$13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July 2022/23*</c:v>
                </c:pt>
                <c:pt idx="11">
                  <c:v>Aug 2022/23*</c:v>
                </c:pt>
              </c:strCache>
            </c:strRef>
          </c:cat>
          <c:val>
            <c:numRef>
              <c:f>'Figure 5'!$E$2:$E$13</c:f>
              <c:numCache>
                <c:formatCode>#,##0</c:formatCode>
                <c:ptCount val="12"/>
                <c:pt idx="0">
                  <c:v>521</c:v>
                </c:pt>
                <c:pt idx="1">
                  <c:v>712</c:v>
                </c:pt>
                <c:pt idx="2">
                  <c:v>518</c:v>
                </c:pt>
                <c:pt idx="3">
                  <c:v>424</c:v>
                </c:pt>
                <c:pt idx="4">
                  <c:v>421</c:v>
                </c:pt>
                <c:pt idx="5">
                  <c:v>705</c:v>
                </c:pt>
                <c:pt idx="6">
                  <c:v>680</c:v>
                </c:pt>
                <c:pt idx="7">
                  <c:v>528</c:v>
                </c:pt>
                <c:pt idx="8">
                  <c:v>624</c:v>
                </c:pt>
                <c:pt idx="9">
                  <c:v>375</c:v>
                </c:pt>
                <c:pt idx="10">
                  <c:v>675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14D-B5D7-5E05103F3F29}"/>
            </c:ext>
          </c:extLst>
        </c:ser>
        <c:ser>
          <c:idx val="2"/>
          <c:order val="2"/>
          <c:tx>
            <c:strRef>
              <c:f>'Figure 5'!$F$1</c:f>
              <c:strCache>
                <c:ptCount val="1"/>
                <c:pt idx="0">
                  <c:v>Food and feed waste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5'!$A$2:$A$13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July 2022/23*</c:v>
                </c:pt>
                <c:pt idx="11">
                  <c:v>Aug 2022/23*</c:v>
                </c:pt>
              </c:strCache>
            </c:strRef>
          </c:cat>
          <c:val>
            <c:numRef>
              <c:f>'Figure 5'!$F$2:$F$13</c:f>
              <c:numCache>
                <c:formatCode>#,##0</c:formatCode>
                <c:ptCount val="12"/>
                <c:pt idx="0">
                  <c:v>880</c:v>
                </c:pt>
                <c:pt idx="1">
                  <c:v>950</c:v>
                </c:pt>
                <c:pt idx="2">
                  <c:v>1010</c:v>
                </c:pt>
                <c:pt idx="3">
                  <c:v>1020</c:v>
                </c:pt>
                <c:pt idx="4">
                  <c:v>1045</c:v>
                </c:pt>
                <c:pt idx="5">
                  <c:v>1045</c:v>
                </c:pt>
                <c:pt idx="6">
                  <c:v>1020</c:v>
                </c:pt>
                <c:pt idx="7">
                  <c:v>1035</c:v>
                </c:pt>
                <c:pt idx="8">
                  <c:v>1025</c:v>
                </c:pt>
                <c:pt idx="9">
                  <c:v>1025</c:v>
                </c:pt>
                <c:pt idx="10">
                  <c:v>1025</c:v>
                </c:pt>
                <c:pt idx="11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9-414D-B5D7-5E05103F3F29}"/>
            </c:ext>
          </c:extLst>
        </c:ser>
        <c:ser>
          <c:idx val="4"/>
          <c:order val="4"/>
          <c:tx>
            <c:strRef>
              <c:f>'Figure 5'!$C$1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'Figure 5'!$C$2:$C$13</c:f>
              <c:numCache>
                <c:formatCode>#,##0</c:formatCode>
                <c:ptCount val="12"/>
                <c:pt idx="0">
                  <c:v>214</c:v>
                </c:pt>
                <c:pt idx="1">
                  <c:v>319</c:v>
                </c:pt>
                <c:pt idx="2">
                  <c:v>266</c:v>
                </c:pt>
                <c:pt idx="3">
                  <c:v>622</c:v>
                </c:pt>
                <c:pt idx="4">
                  <c:v>699</c:v>
                </c:pt>
                <c:pt idx="5">
                  <c:v>521</c:v>
                </c:pt>
                <c:pt idx="6">
                  <c:v>555</c:v>
                </c:pt>
                <c:pt idx="7">
                  <c:v>976</c:v>
                </c:pt>
                <c:pt idx="8">
                  <c:v>779</c:v>
                </c:pt>
                <c:pt idx="9">
                  <c:v>1800</c:v>
                </c:pt>
                <c:pt idx="10">
                  <c:v>1150</c:v>
                </c:pt>
                <c:pt idx="11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9-414D-B5D7-5E05103F3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3"/>
          <c:order val="3"/>
          <c:tx>
            <c:strRef>
              <c:f>'Figure 5'!$B$1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July 2022/23*</c:v>
                </c:pt>
                <c:pt idx="11">
                  <c:v>Aug 2022/23*</c:v>
                </c:pt>
              </c:strCache>
            </c:strRef>
          </c:cat>
          <c:val>
            <c:numRef>
              <c:f>'Figure 5'!$B$2:$B$13</c:f>
              <c:numCache>
                <c:formatCode>#,##0</c:formatCode>
                <c:ptCount val="12"/>
                <c:pt idx="0">
                  <c:v>7088</c:v>
                </c:pt>
                <c:pt idx="1">
                  <c:v>9054</c:v>
                </c:pt>
                <c:pt idx="2">
                  <c:v>8974</c:v>
                </c:pt>
                <c:pt idx="3">
                  <c:v>7721</c:v>
                </c:pt>
                <c:pt idx="4">
                  <c:v>8651</c:v>
                </c:pt>
                <c:pt idx="5">
                  <c:v>10128</c:v>
                </c:pt>
                <c:pt idx="6">
                  <c:v>9505</c:v>
                </c:pt>
                <c:pt idx="7">
                  <c:v>9474</c:v>
                </c:pt>
                <c:pt idx="8">
                  <c:v>8897</c:v>
                </c:pt>
                <c:pt idx="9">
                  <c:v>10341</c:v>
                </c:pt>
                <c:pt idx="10">
                  <c:v>10500</c:v>
                </c:pt>
                <c:pt idx="11">
                  <c:v>9700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C9-414D-B5D7-5E05103F3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7806357204129019"/>
              <c:y val="0.8333693196507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14000"/>
          <c:min val="4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Thousand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metric tons</a:t>
                </a: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059179228383537E-3"/>
              <c:y val="0.12212612879464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1250"/>
        <c:min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02964109246802"/>
          <c:y val="0.13357705294145922"/>
          <c:w val="0.74957419050823071"/>
          <c:h val="9.2453916077829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76728</xdr:colOff>
      <xdr:row>0</xdr:row>
      <xdr:rowOff>211667</xdr:rowOff>
    </xdr:from>
    <xdr:to>
      <xdr:col>14</xdr:col>
      <xdr:colOff>125412</xdr:colOff>
      <xdr:row>21</xdr:row>
      <xdr:rowOff>19897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7CFFEFE-5A87-423F-883F-48E21BE1D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0.85261</cdr:y>
    </cdr:from>
    <cdr:to>
      <cdr:x>1</cdr:x>
      <cdr:y>0.9934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281418"/>
          <a:ext cx="6060809" cy="541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August 2022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0.8653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323167"/>
          <a:ext cx="5943601" cy="51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Estimates.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550334</xdr:colOff>
      <xdr:row>0</xdr:row>
      <xdr:rowOff>148166</xdr:rowOff>
    </xdr:from>
    <xdr:to>
      <xdr:col>18</xdr:col>
      <xdr:colOff>355601</xdr:colOff>
      <xdr:row>19</xdr:row>
      <xdr:rowOff>115146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E4EC437-B684-4917-AB04-6A2D45F82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0.89273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213101"/>
          <a:ext cx="6070601" cy="38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National Agricultural Statistics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Progress,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8, 2022.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560335</xdr:colOff>
      <xdr:row>0</xdr:row>
      <xdr:rowOff>169172</xdr:rowOff>
    </xdr:from>
    <xdr:to>
      <xdr:col>16</xdr:col>
      <xdr:colOff>592667</xdr:colOff>
      <xdr:row>24</xdr:row>
      <xdr:rowOff>148167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F07C998-5F32-4F06-AC45-8ADF5A597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0.82311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162885"/>
          <a:ext cx="6094674" cy="67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Included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feedstocks account for 97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99 percent of biofuel production.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Poultry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waste and other animal feedstock categories are excluded.</a:t>
          </a:r>
          <a:endParaRPr lang="en-US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3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United States Energy Information Administration,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July 29, 2022.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591611</xdr:colOff>
      <xdr:row>0</xdr:row>
      <xdr:rowOff>114299</xdr:rowOff>
    </xdr:from>
    <xdr:to>
      <xdr:col>15</xdr:col>
      <xdr:colOff>396877</xdr:colOff>
      <xdr:row>21</xdr:row>
      <xdr:rowOff>17779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71D4B-9F66-4A9E-950A-C02C8C304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943349"/>
          <a:ext cx="6037791" cy="487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Oilseed, other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includes copra, cottonseed, palm kernel and peanut.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August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191823</xdr:colOff>
      <xdr:row>0</xdr:row>
      <xdr:rowOff>172982</xdr:rowOff>
    </xdr:from>
    <xdr:to>
      <xdr:col>17</xdr:col>
      <xdr:colOff>613832</xdr:colOff>
      <xdr:row>19</xdr:row>
      <xdr:rowOff>118534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8023467-B71C-4A86-B536-834ED2E9A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/>
  </sheetViews>
  <sheetFormatPr defaultColWidth="9.6640625" defaultRowHeight="13.8"/>
  <cols>
    <col min="1" max="1" width="166.88671875" style="13" customWidth="1"/>
    <col min="2" max="16384" width="9.6640625" style="1"/>
  </cols>
  <sheetData>
    <row r="1" spans="1:3">
      <c r="A1" s="8" t="s">
        <v>0</v>
      </c>
      <c r="B1" s="122"/>
      <c r="C1" s="122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22"/>
    </row>
    <row r="5" spans="1:3">
      <c r="A5" s="11" t="s">
        <v>3</v>
      </c>
      <c r="B5" s="4"/>
      <c r="C5" s="122"/>
    </row>
    <row r="6" spans="1:3">
      <c r="A6" s="11" t="s">
        <v>4</v>
      </c>
      <c r="B6" s="4"/>
      <c r="C6" s="122"/>
    </row>
    <row r="7" spans="1:3">
      <c r="A7" s="11" t="s">
        <v>5</v>
      </c>
      <c r="B7" s="4"/>
      <c r="C7" s="122"/>
    </row>
    <row r="8" spans="1:3">
      <c r="A8" s="11" t="s">
        <v>6</v>
      </c>
      <c r="B8" s="4"/>
      <c r="C8" s="122"/>
    </row>
    <row r="9" spans="1:3">
      <c r="A9" s="11" t="s">
        <v>7</v>
      </c>
      <c r="B9" s="4"/>
      <c r="C9" s="122"/>
    </row>
    <row r="10" spans="1:3">
      <c r="A10" s="11" t="s">
        <v>8</v>
      </c>
      <c r="B10" s="4"/>
      <c r="C10" s="122"/>
    </row>
    <row r="11" spans="1:3">
      <c r="A11" s="11" t="s">
        <v>9</v>
      </c>
      <c r="B11" s="4"/>
      <c r="C11" s="122"/>
    </row>
    <row r="12" spans="1:3">
      <c r="A12" s="11" t="s">
        <v>10</v>
      </c>
      <c r="B12" s="4"/>
      <c r="C12" s="122"/>
    </row>
    <row r="13" spans="1:3">
      <c r="A13" s="12" t="s">
        <v>11</v>
      </c>
      <c r="B13" s="4"/>
      <c r="C13" s="122"/>
    </row>
    <row r="14" spans="1:3" ht="13.2">
      <c r="A14" s="122"/>
      <c r="B14" s="122"/>
      <c r="C14" s="122"/>
    </row>
    <row r="15" spans="1:3">
      <c r="A15" s="8" t="s">
        <v>12</v>
      </c>
      <c r="B15" s="123"/>
      <c r="C15" s="122"/>
    </row>
    <row r="16" spans="1:3">
      <c r="A16" s="10">
        <f ca="1">TODAY()</f>
        <v>44789</v>
      </c>
      <c r="B16" s="122"/>
      <c r="C16" s="122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8F99-5981-4828-9F4D-DFFF59C3BBA8}">
  <dimension ref="A1:H112"/>
  <sheetViews>
    <sheetView zoomScale="90" zoomScaleNormal="90" workbookViewId="0">
      <selection activeCell="M26" sqref="M25:M26"/>
    </sheetView>
  </sheetViews>
  <sheetFormatPr defaultColWidth="9.109375" defaultRowHeight="13.8"/>
  <cols>
    <col min="1" max="1" width="11.44140625" style="148" bestFit="1" customWidth="1"/>
    <col min="2" max="8" width="8.44140625" style="148" bestFit="1" customWidth="1"/>
    <col min="9" max="16384" width="9.109375" style="148"/>
  </cols>
  <sheetData>
    <row r="1" spans="1:8" ht="34.5" customHeight="1">
      <c r="A1" s="142" t="s">
        <v>181</v>
      </c>
      <c r="B1" s="142" t="s">
        <v>109</v>
      </c>
      <c r="C1" s="142" t="s">
        <v>110</v>
      </c>
      <c r="D1" s="142" t="s">
        <v>111</v>
      </c>
      <c r="E1" s="142" t="s">
        <v>112</v>
      </c>
      <c r="F1" s="142" t="s">
        <v>34</v>
      </c>
      <c r="G1" s="142" t="s">
        <v>53</v>
      </c>
      <c r="H1" s="142" t="s">
        <v>159</v>
      </c>
    </row>
    <row r="2" spans="1:8">
      <c r="A2" s="148" t="s">
        <v>182</v>
      </c>
      <c r="B2" s="148">
        <v>72</v>
      </c>
      <c r="C2" s="148">
        <v>66</v>
      </c>
      <c r="D2" s="148">
        <v>73</v>
      </c>
      <c r="E2" s="148">
        <v>54</v>
      </c>
      <c r="F2" s="148">
        <v>70</v>
      </c>
      <c r="G2" s="148">
        <v>60</v>
      </c>
      <c r="H2" s="148">
        <v>65</v>
      </c>
    </row>
    <row r="3" spans="1:8">
      <c r="A3" s="148" t="s">
        <v>183</v>
      </c>
      <c r="B3" s="148">
        <v>70</v>
      </c>
      <c r="C3" s="148">
        <v>64</v>
      </c>
      <c r="D3" s="148">
        <v>71</v>
      </c>
      <c r="E3" s="148">
        <v>54</v>
      </c>
      <c r="F3" s="148">
        <v>71</v>
      </c>
      <c r="G3" s="148">
        <v>59</v>
      </c>
      <c r="H3" s="148">
        <v>63</v>
      </c>
    </row>
    <row r="4" spans="1:8">
      <c r="A4" s="148" t="s">
        <v>184</v>
      </c>
      <c r="B4" s="148">
        <v>71</v>
      </c>
      <c r="C4" s="148">
        <v>62</v>
      </c>
      <c r="D4" s="148">
        <v>71</v>
      </c>
      <c r="E4" s="148">
        <v>53</v>
      </c>
      <c r="F4" s="148">
        <v>71</v>
      </c>
      <c r="G4" s="148">
        <v>59</v>
      </c>
      <c r="H4" s="148">
        <v>62</v>
      </c>
    </row>
    <row r="5" spans="1:8">
      <c r="A5" s="148" t="s">
        <v>185</v>
      </c>
      <c r="B5" s="148">
        <v>71</v>
      </c>
      <c r="C5" s="148">
        <v>61</v>
      </c>
      <c r="D5" s="148">
        <v>69</v>
      </c>
      <c r="E5" s="148">
        <v>54</v>
      </c>
      <c r="F5" s="148">
        <v>68</v>
      </c>
      <c r="G5" s="148">
        <v>60</v>
      </c>
      <c r="H5" s="148">
        <v>61</v>
      </c>
    </row>
    <row r="6" spans="1:8">
      <c r="A6" s="148" t="s">
        <v>186</v>
      </c>
      <c r="B6" s="148">
        <v>71</v>
      </c>
      <c r="C6" s="148">
        <v>57</v>
      </c>
      <c r="D6" s="148">
        <v>70</v>
      </c>
      <c r="E6" s="148">
        <v>54</v>
      </c>
      <c r="F6" s="148">
        <v>69</v>
      </c>
      <c r="G6" s="148">
        <v>58</v>
      </c>
      <c r="H6" s="148">
        <v>59</v>
      </c>
    </row>
    <row r="7" spans="1:8">
      <c r="A7" s="148" t="s">
        <v>187</v>
      </c>
      <c r="B7" s="148">
        <v>72</v>
      </c>
      <c r="C7" s="148">
        <v>59</v>
      </c>
      <c r="D7" s="148">
        <v>70</v>
      </c>
      <c r="E7" s="148">
        <v>54</v>
      </c>
      <c r="F7" s="148">
        <v>72</v>
      </c>
      <c r="G7" s="148">
        <v>60</v>
      </c>
      <c r="H7" s="148">
        <v>60</v>
      </c>
    </row>
    <row r="8" spans="1:8">
      <c r="A8" s="148" t="s">
        <v>188</v>
      </c>
      <c r="B8" s="148">
        <v>72</v>
      </c>
      <c r="C8" s="148">
        <v>60</v>
      </c>
      <c r="D8" s="148">
        <v>67</v>
      </c>
      <c r="E8" s="148">
        <v>54</v>
      </c>
      <c r="F8" s="148">
        <v>73</v>
      </c>
      <c r="G8" s="148">
        <v>60</v>
      </c>
      <c r="H8" s="148">
        <v>59</v>
      </c>
    </row>
    <row r="9" spans="1:8">
      <c r="A9" s="148" t="s">
        <v>189</v>
      </c>
      <c r="B9" s="148">
        <v>72</v>
      </c>
      <c r="C9" s="148">
        <v>59</v>
      </c>
      <c r="D9" s="148">
        <v>66</v>
      </c>
      <c r="E9" s="148">
        <v>54</v>
      </c>
      <c r="F9" s="148">
        <v>74</v>
      </c>
      <c r="G9" s="148">
        <v>57</v>
      </c>
    </row>
    <row r="10" spans="1:8">
      <c r="A10" s="148" t="s">
        <v>190</v>
      </c>
      <c r="B10" s="148">
        <v>72</v>
      </c>
      <c r="C10" s="148">
        <v>60</v>
      </c>
      <c r="D10" s="148">
        <v>65</v>
      </c>
      <c r="E10" s="148">
        <v>53</v>
      </c>
      <c r="F10" s="148">
        <v>72</v>
      </c>
      <c r="G10" s="148">
        <v>56</v>
      </c>
    </row>
    <row r="11" spans="1:8">
      <c r="A11" s="148" t="s">
        <v>191</v>
      </c>
      <c r="B11" s="148">
        <v>73</v>
      </c>
      <c r="C11" s="148">
        <v>61</v>
      </c>
      <c r="D11" s="148">
        <v>66</v>
      </c>
      <c r="E11" s="148">
        <v>55</v>
      </c>
      <c r="F11" s="148">
        <v>69</v>
      </c>
      <c r="G11" s="148">
        <v>56</v>
      </c>
    </row>
    <row r="12" spans="1:8">
      <c r="A12" s="148" t="s">
        <v>192</v>
      </c>
      <c r="B12" s="148">
        <v>73</v>
      </c>
      <c r="C12" s="148">
        <v>61</v>
      </c>
      <c r="D12" s="148">
        <v>66</v>
      </c>
      <c r="E12" s="148">
        <v>55</v>
      </c>
      <c r="F12" s="148">
        <v>66</v>
      </c>
      <c r="G12" s="148">
        <v>57</v>
      </c>
    </row>
    <row r="13" spans="1:8">
      <c r="A13" s="148" t="s">
        <v>193</v>
      </c>
      <c r="B13" s="148">
        <v>73</v>
      </c>
      <c r="C13" s="148">
        <v>60</v>
      </c>
      <c r="D13" s="148">
        <v>68</v>
      </c>
      <c r="E13" s="148">
        <v>55</v>
      </c>
      <c r="F13" s="148">
        <v>65</v>
      </c>
      <c r="G13" s="148">
        <v>57</v>
      </c>
    </row>
    <row r="14" spans="1:8">
      <c r="A14" s="148" t="s">
        <v>194</v>
      </c>
      <c r="B14" s="148">
        <v>73</v>
      </c>
      <c r="C14" s="148">
        <v>59</v>
      </c>
      <c r="D14" s="148">
        <v>67</v>
      </c>
      <c r="E14" s="148">
        <v>54</v>
      </c>
      <c r="F14" s="148">
        <v>63</v>
      </c>
      <c r="G14" s="148">
        <v>58</v>
      </c>
    </row>
    <row r="15" spans="1:8">
      <c r="A15" s="148" t="s">
        <v>195</v>
      </c>
      <c r="B15" s="148">
        <v>73</v>
      </c>
      <c r="C15" s="148">
        <v>60</v>
      </c>
      <c r="D15" s="148">
        <v>68</v>
      </c>
      <c r="E15" s="148">
        <v>54</v>
      </c>
      <c r="F15" s="148">
        <v>63</v>
      </c>
      <c r="G15" s="148">
        <v>58</v>
      </c>
    </row>
    <row r="16" spans="1:8">
      <c r="A16" s="148" t="s">
        <v>196</v>
      </c>
      <c r="B16" s="148">
        <v>74</v>
      </c>
      <c r="C16" s="148">
        <v>60</v>
      </c>
      <c r="D16" s="148">
        <v>68</v>
      </c>
      <c r="E16" s="148">
        <v>55</v>
      </c>
      <c r="F16" s="148">
        <v>64</v>
      </c>
      <c r="G16" s="148">
        <v>58</v>
      </c>
    </row>
    <row r="17" spans="1:7">
      <c r="A17" s="148" t="s">
        <v>197</v>
      </c>
      <c r="B17" s="148">
        <v>74</v>
      </c>
      <c r="C17" s="148">
        <v>61</v>
      </c>
      <c r="D17" s="148">
        <v>68</v>
      </c>
      <c r="E17" s="148">
        <v>53</v>
      </c>
      <c r="F17" s="148">
        <v>64</v>
      </c>
      <c r="G17" s="148">
        <v>59</v>
      </c>
    </row>
    <row r="18" spans="1:7">
      <c r="F18"/>
    </row>
    <row r="19" spans="1:7">
      <c r="F19"/>
    </row>
    <row r="20" spans="1:7">
      <c r="F20"/>
    </row>
    <row r="21" spans="1:7">
      <c r="F21"/>
    </row>
    <row r="22" spans="1:7">
      <c r="F22"/>
    </row>
    <row r="23" spans="1:7">
      <c r="F23"/>
    </row>
    <row r="24" spans="1:7">
      <c r="F24"/>
    </row>
    <row r="25" spans="1:7">
      <c r="F25"/>
    </row>
    <row r="26" spans="1:7">
      <c r="F26"/>
    </row>
    <row r="27" spans="1:7">
      <c r="F27"/>
    </row>
    <row r="28" spans="1:7">
      <c r="F28"/>
    </row>
    <row r="29" spans="1:7">
      <c r="F29"/>
    </row>
    <row r="30" spans="1:7">
      <c r="F30"/>
    </row>
    <row r="31" spans="1:7">
      <c r="F31"/>
    </row>
    <row r="32" spans="1:7">
      <c r="F32"/>
    </row>
    <row r="33" spans="6:6">
      <c r="F33"/>
    </row>
    <row r="34" spans="6:6">
      <c r="F34"/>
    </row>
    <row r="35" spans="6:6">
      <c r="F35"/>
    </row>
    <row r="36" spans="6:6">
      <c r="F36"/>
    </row>
    <row r="37" spans="6:6">
      <c r="F37"/>
    </row>
    <row r="38" spans="6:6">
      <c r="F38"/>
    </row>
    <row r="39" spans="6:6">
      <c r="F39"/>
    </row>
    <row r="40" spans="6:6">
      <c r="F40"/>
    </row>
    <row r="41" spans="6:6">
      <c r="F41"/>
    </row>
    <row r="42" spans="6:6">
      <c r="F42"/>
    </row>
    <row r="43" spans="6:6">
      <c r="F43"/>
    </row>
    <row r="44" spans="6:6">
      <c r="F44"/>
    </row>
    <row r="45" spans="6:6">
      <c r="F45"/>
    </row>
    <row r="46" spans="6:6">
      <c r="F46"/>
    </row>
    <row r="47" spans="6:6">
      <c r="F47"/>
    </row>
    <row r="48" spans="6:6"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  <row r="57" spans="6:6">
      <c r="F57"/>
    </row>
    <row r="58" spans="6:6">
      <c r="F58"/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8A99-0751-432A-BD01-378E93189591}">
  <dimension ref="A1:R91"/>
  <sheetViews>
    <sheetView zoomScale="90" zoomScaleNormal="90" workbookViewId="0">
      <selection activeCell="F20" sqref="F20"/>
    </sheetView>
  </sheetViews>
  <sheetFormatPr defaultColWidth="9.109375" defaultRowHeight="13.2"/>
  <cols>
    <col min="1" max="1" width="10.109375" bestFit="1" customWidth="1"/>
    <col min="2" max="2" width="13.109375" bestFit="1" customWidth="1"/>
    <col min="3" max="3" width="12.109375" bestFit="1" customWidth="1"/>
    <col min="4" max="4" width="11.44140625" bestFit="1" customWidth="1"/>
    <col min="5" max="5" width="14.33203125" bestFit="1" customWidth="1"/>
    <col min="6" max="6" width="14.5546875" bestFit="1" customWidth="1"/>
    <col min="7" max="7" width="15.5546875" bestFit="1" customWidth="1"/>
    <col min="8" max="8" width="14.88671875" style="167" bestFit="1" customWidth="1"/>
    <col min="9" max="9" width="14.33203125" style="167" bestFit="1" customWidth="1"/>
  </cols>
  <sheetData>
    <row r="1" spans="1:18" ht="13.8">
      <c r="A1" s="143" t="s">
        <v>165</v>
      </c>
      <c r="B1" s="142" t="s">
        <v>160</v>
      </c>
      <c r="C1" s="142" t="s">
        <v>161</v>
      </c>
      <c r="D1" s="142" t="s">
        <v>162</v>
      </c>
      <c r="E1" s="157" t="s">
        <v>175</v>
      </c>
      <c r="F1" s="157" t="s">
        <v>163</v>
      </c>
      <c r="G1" s="157" t="s">
        <v>164</v>
      </c>
      <c r="H1" s="162"/>
      <c r="I1" s="55"/>
      <c r="J1" s="55"/>
    </row>
    <row r="2" spans="1:18" ht="13.8">
      <c r="A2" s="159" t="s">
        <v>167</v>
      </c>
      <c r="B2" s="160">
        <v>832.42700000000002</v>
      </c>
      <c r="C2" s="161">
        <v>217.39599999999999</v>
      </c>
      <c r="D2" s="160">
        <v>115.738</v>
      </c>
      <c r="E2" s="161">
        <v>140.90899999999999</v>
      </c>
      <c r="F2" s="161">
        <v>67.417000000000002</v>
      </c>
      <c r="G2" s="161">
        <v>320.89499999999998</v>
      </c>
      <c r="H2" s="163"/>
      <c r="I2" s="164"/>
      <c r="J2" s="150"/>
      <c r="K2" s="158"/>
      <c r="L2" s="158"/>
      <c r="M2" s="158"/>
      <c r="N2" s="158"/>
      <c r="O2" s="158"/>
      <c r="P2" s="158"/>
      <c r="Q2" s="158"/>
      <c r="R2" s="158"/>
    </row>
    <row r="3" spans="1:18" ht="14.4">
      <c r="A3" s="159" t="s">
        <v>166</v>
      </c>
      <c r="B3" s="160">
        <v>818.01271279999992</v>
      </c>
      <c r="C3" s="161">
        <v>243.87184300000001</v>
      </c>
      <c r="D3" s="160">
        <v>132.672888</v>
      </c>
      <c r="E3" s="161">
        <v>111.976</v>
      </c>
      <c r="F3" s="161">
        <v>48.72</v>
      </c>
      <c r="G3" s="161">
        <v>346.80399999999997</v>
      </c>
      <c r="H3" s="163"/>
      <c r="I3" s="165"/>
      <c r="J3" s="150"/>
      <c r="K3" s="158"/>
      <c r="L3" s="158"/>
      <c r="M3" s="158"/>
      <c r="N3" s="158"/>
      <c r="O3" s="158"/>
      <c r="P3" s="158"/>
      <c r="Q3" s="158"/>
      <c r="R3" s="158"/>
    </row>
    <row r="4" spans="1:18" ht="14.4">
      <c r="A4" s="159" t="s">
        <v>168</v>
      </c>
      <c r="B4" s="160">
        <v>937.33500000000004</v>
      </c>
      <c r="C4" s="161">
        <v>300.82</v>
      </c>
      <c r="D4" s="160">
        <v>126.211</v>
      </c>
      <c r="E4" s="161">
        <v>160.22399999999999</v>
      </c>
      <c r="F4" s="161">
        <v>51.173999999999999</v>
      </c>
      <c r="G4" s="161">
        <v>367.79199999999997</v>
      </c>
      <c r="H4" s="163"/>
      <c r="I4" s="165"/>
      <c r="J4" s="150"/>
      <c r="K4" s="158"/>
      <c r="L4" s="158"/>
      <c r="M4" s="158"/>
      <c r="N4" s="158"/>
      <c r="O4" s="158"/>
      <c r="P4" s="158"/>
      <c r="Q4" s="158"/>
      <c r="R4" s="158"/>
    </row>
    <row r="5" spans="1:18" ht="14.4">
      <c r="A5" s="159" t="s">
        <v>169</v>
      </c>
      <c r="B5" s="160">
        <v>791.38699999999994</v>
      </c>
      <c r="C5" s="161">
        <v>249.209</v>
      </c>
      <c r="D5" s="160">
        <v>63.920999999999999</v>
      </c>
      <c r="E5" s="161">
        <v>140.52199999999999</v>
      </c>
      <c r="F5" s="161">
        <v>43.414000000000001</v>
      </c>
      <c r="G5" s="161">
        <v>364.40699999999998</v>
      </c>
      <c r="H5" s="163"/>
      <c r="I5" s="165"/>
      <c r="J5" s="150"/>
      <c r="K5" s="158"/>
      <c r="L5" s="158"/>
      <c r="M5" s="158"/>
      <c r="N5" s="158"/>
      <c r="O5" s="158"/>
      <c r="P5" s="158"/>
      <c r="Q5" s="158"/>
      <c r="R5" s="158"/>
    </row>
    <row r="6" spans="1:18" ht="14.4">
      <c r="A6" s="159" t="s">
        <v>170</v>
      </c>
      <c r="B6" s="160">
        <v>740.60299999999995</v>
      </c>
      <c r="C6" s="161">
        <v>188.44900000000001</v>
      </c>
      <c r="D6" s="169" t="s">
        <v>174</v>
      </c>
      <c r="E6" s="161">
        <v>130.161</v>
      </c>
      <c r="F6" s="161">
        <v>37.932000000000002</v>
      </c>
      <c r="G6" s="161">
        <v>305.899</v>
      </c>
      <c r="H6" s="163"/>
      <c r="I6" s="165"/>
      <c r="J6" s="150"/>
      <c r="K6" s="158"/>
      <c r="L6" s="158"/>
      <c r="M6" s="158"/>
      <c r="N6" s="158"/>
      <c r="O6" s="158"/>
      <c r="P6" s="158"/>
      <c r="Q6" s="158"/>
      <c r="R6" s="158"/>
    </row>
    <row r="7" spans="1:18" ht="14.4">
      <c r="A7" s="159" t="s">
        <v>171</v>
      </c>
      <c r="B7" s="160">
        <v>908.29</v>
      </c>
      <c r="C7" s="161">
        <v>212.01</v>
      </c>
      <c r="D7" s="169" t="s">
        <v>174</v>
      </c>
      <c r="E7" s="161">
        <v>127.2</v>
      </c>
      <c r="F7" s="161">
        <v>47.042999999999999</v>
      </c>
      <c r="G7" s="161">
        <v>337.86500000000001</v>
      </c>
      <c r="H7" s="163"/>
      <c r="I7" s="165"/>
      <c r="J7" s="150"/>
      <c r="K7" s="158"/>
      <c r="L7" s="158"/>
      <c r="M7" s="158"/>
      <c r="N7" s="158"/>
      <c r="O7" s="158"/>
      <c r="P7" s="158"/>
      <c r="Q7" s="158"/>
      <c r="R7" s="158"/>
    </row>
    <row r="8" spans="1:18" ht="14.4">
      <c r="A8" s="159" t="s">
        <v>172</v>
      </c>
      <c r="B8" s="160">
        <v>838.9</v>
      </c>
      <c r="C8" s="161">
        <v>210.94499999999999</v>
      </c>
      <c r="D8" s="160">
        <v>100.935</v>
      </c>
      <c r="E8" s="161">
        <v>129.69200000000001</v>
      </c>
      <c r="F8" s="161">
        <v>56.66</v>
      </c>
      <c r="G8" s="161">
        <v>402.23500000000001</v>
      </c>
      <c r="H8" s="163"/>
      <c r="I8" s="165"/>
      <c r="J8" s="150"/>
      <c r="K8" s="158"/>
      <c r="L8" s="158"/>
      <c r="M8" s="158"/>
      <c r="N8" s="158"/>
      <c r="O8" s="158"/>
      <c r="P8" s="158"/>
      <c r="Q8" s="158"/>
      <c r="R8" s="158"/>
    </row>
    <row r="9" spans="1:18" ht="14.4">
      <c r="A9" s="159" t="s">
        <v>173</v>
      </c>
      <c r="B9" s="160">
        <v>855.57100000000003</v>
      </c>
      <c r="C9" s="161">
        <v>246.16300000000001</v>
      </c>
      <c r="D9" s="160">
        <v>120.535</v>
      </c>
      <c r="E9" s="161">
        <v>161.744</v>
      </c>
      <c r="F9" s="161">
        <v>62.811</v>
      </c>
      <c r="G9" s="161">
        <v>467.03699999999998</v>
      </c>
      <c r="H9" s="163"/>
      <c r="I9" s="165"/>
      <c r="J9" s="150"/>
      <c r="K9" s="158"/>
      <c r="L9" s="158"/>
      <c r="M9" s="158"/>
      <c r="N9" s="158"/>
      <c r="O9" s="158"/>
      <c r="P9" s="158"/>
      <c r="Q9" s="158"/>
      <c r="R9" s="158"/>
    </row>
    <row r="10" spans="1:18" ht="13.8">
      <c r="A10" s="139"/>
      <c r="B10" s="144"/>
      <c r="C10" s="144"/>
      <c r="D10" s="145"/>
      <c r="E10" s="150"/>
      <c r="H10" s="166"/>
    </row>
    <row r="11" spans="1:18" ht="13.8">
      <c r="A11" s="139" t="s">
        <v>198</v>
      </c>
      <c r="B11" s="144"/>
      <c r="C11" s="144"/>
      <c r="D11" s="145"/>
      <c r="E11" s="150"/>
      <c r="H11" s="166"/>
    </row>
    <row r="12" spans="1:18" ht="13.8">
      <c r="A12" s="139"/>
      <c r="B12" s="150"/>
      <c r="C12" s="150"/>
      <c r="D12" s="150"/>
      <c r="E12" s="150"/>
      <c r="H12" s="168"/>
    </row>
    <row r="13" spans="1:18" ht="13.8">
      <c r="A13" s="139"/>
      <c r="B13" s="144"/>
      <c r="C13" s="144"/>
      <c r="D13" s="145"/>
      <c r="E13" s="150"/>
      <c r="H13" s="166"/>
    </row>
    <row r="14" spans="1:18" ht="13.8">
      <c r="A14" s="139"/>
      <c r="B14" s="141"/>
      <c r="C14" s="144"/>
      <c r="D14" s="145"/>
      <c r="H14" s="166"/>
    </row>
    <row r="15" spans="1:18" ht="13.8">
      <c r="A15" s="139"/>
      <c r="B15" s="141"/>
      <c r="C15" s="144"/>
      <c r="D15" s="145"/>
      <c r="E15" s="150"/>
      <c r="H15" s="166"/>
    </row>
    <row r="16" spans="1:18" ht="13.8">
      <c r="A16" s="139"/>
      <c r="B16" s="141"/>
      <c r="C16" s="144"/>
      <c r="D16" s="145"/>
      <c r="H16" s="166"/>
    </row>
    <row r="17" spans="1:8" ht="13.8">
      <c r="A17" s="139"/>
      <c r="B17" s="141"/>
      <c r="C17" s="144"/>
      <c r="D17" s="145"/>
      <c r="H17" s="166"/>
    </row>
    <row r="18" spans="1:8" ht="13.8">
      <c r="A18" s="139"/>
      <c r="B18" s="141"/>
      <c r="C18" s="144"/>
      <c r="D18" s="144"/>
      <c r="H18" s="166"/>
    </row>
    <row r="19" spans="1:8" ht="13.8">
      <c r="A19" s="139"/>
      <c r="B19" s="141"/>
      <c r="C19" s="144"/>
      <c r="D19" s="145"/>
      <c r="H19" s="166"/>
    </row>
    <row r="20" spans="1:8" ht="13.8">
      <c r="A20" s="139"/>
      <c r="B20" s="141"/>
      <c r="C20" s="144"/>
      <c r="D20" s="145"/>
      <c r="H20" s="166"/>
    </row>
    <row r="21" spans="1:8" ht="13.8">
      <c r="A21" s="139"/>
      <c r="B21" s="141"/>
      <c r="C21" s="144"/>
      <c r="D21" s="145"/>
      <c r="H21" s="166"/>
    </row>
    <row r="22" spans="1:8" ht="13.8">
      <c r="A22" s="139"/>
      <c r="B22" s="141"/>
      <c r="C22" s="144"/>
      <c r="D22" s="145"/>
      <c r="H22" s="166"/>
    </row>
    <row r="23" spans="1:8" ht="13.8">
      <c r="A23" s="139"/>
      <c r="B23" s="141"/>
      <c r="C23" s="144"/>
      <c r="D23" s="145"/>
      <c r="H23" s="166"/>
    </row>
    <row r="24" spans="1:8" ht="13.8">
      <c r="A24" s="139"/>
      <c r="B24" s="141"/>
      <c r="C24" s="144"/>
      <c r="D24" s="145"/>
      <c r="H24" s="166"/>
    </row>
    <row r="25" spans="1:8" ht="13.8">
      <c r="A25" s="139"/>
      <c r="B25" s="141"/>
      <c r="C25" s="144"/>
      <c r="D25" s="145"/>
      <c r="H25" s="166"/>
    </row>
    <row r="26" spans="1:8" ht="13.8">
      <c r="A26" s="139"/>
      <c r="B26" s="141"/>
      <c r="C26" s="144"/>
      <c r="D26" s="145"/>
      <c r="H26" s="166"/>
    </row>
    <row r="27" spans="1:8" ht="13.8">
      <c r="A27" s="139"/>
      <c r="B27" s="141"/>
      <c r="C27" s="144"/>
      <c r="D27" s="144"/>
      <c r="H27" s="166"/>
    </row>
    <row r="28" spans="1:8" ht="13.8">
      <c r="A28" s="139"/>
      <c r="B28" s="141"/>
      <c r="C28" s="144"/>
      <c r="D28" s="145"/>
      <c r="H28" s="166"/>
    </row>
    <row r="29" spans="1:8">
      <c r="A29" s="121"/>
      <c r="B29" s="121"/>
      <c r="C29" s="121"/>
    </row>
    <row r="30" spans="1:8">
      <c r="A30" s="121"/>
      <c r="B30" s="121"/>
      <c r="C30" s="121"/>
    </row>
    <row r="31" spans="1:8">
      <c r="A31" s="121"/>
      <c r="B31" s="121"/>
      <c r="C31" s="121"/>
    </row>
    <row r="32" spans="1:8">
      <c r="A32" s="121"/>
      <c r="B32" s="121"/>
      <c r="C32" s="121"/>
    </row>
    <row r="33" spans="1:3">
      <c r="A33" s="121"/>
      <c r="B33" s="121"/>
      <c r="C33" s="121"/>
    </row>
    <row r="34" spans="1:3">
      <c r="A34" s="121"/>
      <c r="B34" s="121"/>
      <c r="C34" s="121"/>
    </row>
    <row r="35" spans="1:3">
      <c r="A35" s="121"/>
      <c r="B35" s="121"/>
      <c r="C35" s="121"/>
    </row>
    <row r="36" spans="1:3">
      <c r="A36" s="121"/>
      <c r="B36" s="121"/>
      <c r="C36" s="121"/>
    </row>
    <row r="37" spans="1:3">
      <c r="A37" s="121"/>
      <c r="B37" s="121"/>
      <c r="C37" s="121"/>
    </row>
    <row r="38" spans="1:3">
      <c r="A38" s="121"/>
      <c r="B38" s="121"/>
      <c r="C38" s="121"/>
    </row>
    <row r="39" spans="1:3">
      <c r="A39" s="121"/>
      <c r="B39" s="121"/>
      <c r="C39" s="121"/>
    </row>
    <row r="40" spans="1:3">
      <c r="A40" s="121"/>
      <c r="B40" s="121"/>
      <c r="C40" s="121"/>
    </row>
    <row r="41" spans="1:3">
      <c r="A41" s="121"/>
      <c r="B41" s="121"/>
      <c r="C41" s="121"/>
    </row>
    <row r="42" spans="1:3">
      <c r="A42" s="121"/>
      <c r="B42" s="121"/>
      <c r="C42" s="121"/>
    </row>
    <row r="43" spans="1:3">
      <c r="A43" s="121"/>
      <c r="B43" s="121"/>
      <c r="C43" s="121"/>
    </row>
    <row r="44" spans="1:3">
      <c r="A44" s="121"/>
      <c r="B44" s="121"/>
      <c r="C44" s="121"/>
    </row>
    <row r="45" spans="1:3">
      <c r="A45" s="121"/>
      <c r="B45" s="121"/>
      <c r="C45" s="121"/>
    </row>
    <row r="46" spans="1:3">
      <c r="A46" s="121"/>
      <c r="B46" s="121"/>
      <c r="C46" s="121"/>
    </row>
    <row r="47" spans="1:3">
      <c r="A47" s="121"/>
      <c r="B47" s="121"/>
      <c r="C47" s="121"/>
    </row>
    <row r="48" spans="1:3">
      <c r="A48" s="121"/>
      <c r="B48" s="121"/>
      <c r="C48" s="121"/>
    </row>
    <row r="49" spans="1:3">
      <c r="A49" s="121"/>
      <c r="B49" s="121"/>
      <c r="C49" s="121"/>
    </row>
    <row r="50" spans="1:3">
      <c r="A50" s="121"/>
      <c r="B50" s="121"/>
      <c r="C50" s="121"/>
    </row>
    <row r="51" spans="1:3">
      <c r="A51" s="121"/>
      <c r="B51" s="121"/>
      <c r="C51" s="121"/>
    </row>
    <row r="52" spans="1:3">
      <c r="A52" s="121"/>
      <c r="B52" s="121"/>
      <c r="C52" s="121"/>
    </row>
    <row r="53" spans="1:3">
      <c r="A53" s="121"/>
      <c r="B53" s="121"/>
      <c r="C53" s="121"/>
    </row>
    <row r="54" spans="1:3">
      <c r="A54" s="121"/>
      <c r="B54" s="121"/>
      <c r="C54" s="121"/>
    </row>
    <row r="55" spans="1:3">
      <c r="A55" s="121"/>
      <c r="B55" s="121"/>
      <c r="C55" s="121"/>
    </row>
    <row r="56" spans="1:3">
      <c r="A56" s="121"/>
      <c r="B56" s="121"/>
      <c r="C56" s="121"/>
    </row>
    <row r="57" spans="1:3">
      <c r="A57" s="121"/>
      <c r="B57" s="121"/>
      <c r="C57" s="121"/>
    </row>
    <row r="58" spans="1:3">
      <c r="A58" s="121"/>
      <c r="B58" s="121"/>
      <c r="C58" s="121"/>
    </row>
    <row r="59" spans="1:3">
      <c r="A59" s="121"/>
      <c r="B59" s="121"/>
      <c r="C59" s="121"/>
    </row>
    <row r="60" spans="1:3">
      <c r="A60" s="121"/>
      <c r="B60" s="121"/>
      <c r="C60" s="121"/>
    </row>
    <row r="61" spans="1:3">
      <c r="A61" s="121"/>
      <c r="B61" s="121"/>
      <c r="C61" s="121"/>
    </row>
    <row r="62" spans="1:3">
      <c r="A62" s="121"/>
      <c r="B62" s="121"/>
      <c r="C62" s="121"/>
    </row>
    <row r="63" spans="1:3">
      <c r="A63" s="121"/>
      <c r="B63" s="121"/>
      <c r="C63" s="121"/>
    </row>
    <row r="64" spans="1:3">
      <c r="A64" s="121"/>
      <c r="B64" s="121"/>
      <c r="C64" s="121"/>
    </row>
    <row r="65" spans="1:3">
      <c r="A65" s="121"/>
      <c r="B65" s="121"/>
      <c r="C65" s="121"/>
    </row>
    <row r="66" spans="1:3">
      <c r="A66" s="121"/>
      <c r="B66" s="121"/>
      <c r="C66" s="121"/>
    </row>
    <row r="67" spans="1:3">
      <c r="A67" s="121"/>
      <c r="B67" s="121"/>
      <c r="C67" s="121"/>
    </row>
    <row r="68" spans="1:3">
      <c r="A68" s="121"/>
      <c r="B68" s="121"/>
      <c r="C68" s="121"/>
    </row>
    <row r="69" spans="1:3">
      <c r="A69" s="121"/>
      <c r="B69" s="121"/>
      <c r="C69" s="121"/>
    </row>
    <row r="70" spans="1:3">
      <c r="A70" s="121"/>
      <c r="B70" s="121"/>
      <c r="C70" s="121"/>
    </row>
    <row r="71" spans="1:3">
      <c r="A71" s="121"/>
      <c r="B71" s="121"/>
      <c r="C71" s="121"/>
    </row>
    <row r="72" spans="1:3">
      <c r="A72" s="121"/>
      <c r="B72" s="121"/>
      <c r="C72" s="121"/>
    </row>
    <row r="73" spans="1:3">
      <c r="A73" s="121"/>
      <c r="B73" s="121"/>
      <c r="C73" s="121"/>
    </row>
    <row r="74" spans="1:3">
      <c r="A74" s="121"/>
      <c r="B74" s="121"/>
      <c r="C74" s="121"/>
    </row>
    <row r="75" spans="1:3">
      <c r="A75" s="121"/>
      <c r="B75" s="121"/>
      <c r="C75" s="121"/>
    </row>
    <row r="76" spans="1:3">
      <c r="A76" s="121"/>
      <c r="B76" s="121"/>
      <c r="C76" s="121"/>
    </row>
    <row r="77" spans="1:3">
      <c r="A77" s="121"/>
      <c r="B77" s="121"/>
      <c r="C77" s="121"/>
    </row>
    <row r="78" spans="1:3">
      <c r="A78" s="121"/>
      <c r="B78" s="121"/>
      <c r="C78" s="121"/>
    </row>
    <row r="79" spans="1:3">
      <c r="A79" s="121"/>
      <c r="B79" s="121"/>
      <c r="C79" s="121"/>
    </row>
    <row r="80" spans="1:3">
      <c r="A80" s="121"/>
      <c r="B80" s="121"/>
      <c r="C80" s="121"/>
    </row>
    <row r="81" spans="1:3">
      <c r="A81" s="121"/>
      <c r="B81" s="121"/>
      <c r="C81" s="121"/>
    </row>
    <row r="82" spans="1:3">
      <c r="A82" s="121"/>
      <c r="B82" s="121"/>
      <c r="C82" s="121"/>
    </row>
    <row r="83" spans="1:3">
      <c r="A83" s="121"/>
      <c r="B83" s="121"/>
      <c r="C83" s="121"/>
    </row>
    <row r="84" spans="1:3">
      <c r="A84" s="121"/>
      <c r="B84" s="121"/>
      <c r="C84" s="121"/>
    </row>
    <row r="85" spans="1:3">
      <c r="A85" s="121"/>
      <c r="B85" s="121"/>
      <c r="C85" s="121"/>
    </row>
    <row r="86" spans="1:3">
      <c r="A86" s="121"/>
      <c r="B86" s="121"/>
      <c r="C86" s="121"/>
    </row>
    <row r="87" spans="1:3">
      <c r="A87" s="121"/>
      <c r="B87" s="121"/>
      <c r="C87" s="121"/>
    </row>
    <row r="88" spans="1:3">
      <c r="A88" s="121"/>
      <c r="B88" s="121"/>
      <c r="C88" s="121"/>
    </row>
    <row r="89" spans="1:3">
      <c r="A89" s="121"/>
      <c r="B89" s="121"/>
      <c r="C89" s="121"/>
    </row>
    <row r="90" spans="1:3">
      <c r="A90" s="121"/>
      <c r="B90" s="121"/>
      <c r="C90" s="121"/>
    </row>
    <row r="91" spans="1:3">
      <c r="A91" s="121"/>
      <c r="B91" s="121"/>
      <c r="C91" s="12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0C54-C1EA-45F9-8E09-006CD78895D8}">
  <dimension ref="A1:F16"/>
  <sheetViews>
    <sheetView zoomScale="90" zoomScaleNormal="90" workbookViewId="0"/>
  </sheetViews>
  <sheetFormatPr defaultColWidth="9.109375" defaultRowHeight="13.2"/>
  <cols>
    <col min="1" max="1" width="17.88671875" style="175" customWidth="1"/>
    <col min="2" max="2" width="11.109375" style="170" customWidth="1"/>
    <col min="3" max="3" width="16" style="170" customWidth="1"/>
    <col min="4" max="4" width="11.109375" style="170" customWidth="1"/>
    <col min="5" max="16384" width="9.109375" style="170"/>
  </cols>
  <sheetData>
    <row r="1" spans="1:6" ht="35.25" customHeight="1">
      <c r="A1" s="185" t="s">
        <v>148</v>
      </c>
      <c r="B1" s="185" t="s">
        <v>149</v>
      </c>
      <c r="C1" s="185" t="s">
        <v>151</v>
      </c>
      <c r="D1" s="185" t="s">
        <v>150</v>
      </c>
      <c r="E1" s="185" t="s">
        <v>152</v>
      </c>
    </row>
    <row r="2" spans="1:6" ht="13.8">
      <c r="A2" s="171" t="s">
        <v>153</v>
      </c>
      <c r="B2" s="172">
        <v>75.322999999999993</v>
      </c>
      <c r="C2" s="172">
        <v>48.01</v>
      </c>
      <c r="D2" s="172">
        <v>343.73700000000002</v>
      </c>
      <c r="E2" s="172">
        <v>116.815</v>
      </c>
      <c r="F2" s="172"/>
    </row>
    <row r="3" spans="1:6" ht="13.8">
      <c r="A3" s="171" t="s">
        <v>154</v>
      </c>
      <c r="B3" s="172">
        <v>72.927000000000007</v>
      </c>
      <c r="C3" s="172">
        <v>50.658999999999999</v>
      </c>
      <c r="D3" s="172">
        <v>362.44299999999998</v>
      </c>
      <c r="E3" s="172">
        <v>114.871</v>
      </c>
      <c r="F3" s="172"/>
    </row>
    <row r="4" spans="1:6" ht="13.8">
      <c r="A4" s="171" t="s">
        <v>155</v>
      </c>
      <c r="B4" s="172">
        <v>69.695999999999998</v>
      </c>
      <c r="C4" s="172">
        <v>54.2</v>
      </c>
      <c r="D4" s="172">
        <v>340.15199999999999</v>
      </c>
      <c r="E4" s="172">
        <v>116.745</v>
      </c>
      <c r="F4" s="172"/>
    </row>
    <row r="5" spans="1:6" ht="13.8">
      <c r="A5" s="171" t="s">
        <v>156</v>
      </c>
      <c r="B5" s="172">
        <v>73.881</v>
      </c>
      <c r="C5" s="172">
        <v>49.273000000000003</v>
      </c>
      <c r="D5" s="172">
        <v>368.44400000000002</v>
      </c>
      <c r="E5" s="172">
        <v>115.661</v>
      </c>
      <c r="F5" s="172"/>
    </row>
    <row r="6" spans="1:6" ht="13.8">
      <c r="A6" s="171" t="s">
        <v>157</v>
      </c>
      <c r="B6" s="172">
        <v>72.311000000000007</v>
      </c>
      <c r="C6" s="172">
        <v>57.319000000000003</v>
      </c>
      <c r="D6" s="172">
        <v>352.74200000000002</v>
      </c>
      <c r="E6" s="172">
        <v>118.093</v>
      </c>
      <c r="F6" s="172"/>
    </row>
    <row r="7" spans="1:6" ht="13.8">
      <c r="A7" s="171" t="s">
        <v>158</v>
      </c>
      <c r="B7" s="172">
        <v>80.23</v>
      </c>
      <c r="C7" s="172">
        <v>50.384</v>
      </c>
      <c r="D7" s="172">
        <v>391.39600000000002</v>
      </c>
      <c r="E7" s="172">
        <v>121.06</v>
      </c>
      <c r="F7" s="172"/>
    </row>
    <row r="8" spans="1:6" ht="13.8">
      <c r="A8" s="171" t="s">
        <v>179</v>
      </c>
      <c r="B8" s="172">
        <v>82.48</v>
      </c>
      <c r="C8" s="172">
        <v>50.929000000000002</v>
      </c>
      <c r="D8" s="172">
        <v>392.79199999999997</v>
      </c>
      <c r="E8" s="172">
        <v>119.798</v>
      </c>
      <c r="F8" s="172"/>
    </row>
    <row r="9" spans="1:6" ht="13.8">
      <c r="A9" s="171"/>
      <c r="B9" s="173"/>
    </row>
    <row r="10" spans="1:6" ht="13.8">
      <c r="A10" s="171"/>
      <c r="B10" s="174"/>
      <c r="C10" s="174"/>
      <c r="D10" s="174"/>
    </row>
    <row r="11" spans="1:6" ht="13.8">
      <c r="B11" s="174"/>
    </row>
    <row r="12" spans="1:6" ht="13.8">
      <c r="B12" s="174"/>
    </row>
    <row r="13" spans="1:6" ht="13.8">
      <c r="B13" s="174"/>
    </row>
    <row r="14" spans="1:6" ht="13.8">
      <c r="B14" s="174"/>
    </row>
    <row r="15" spans="1:6" ht="13.8">
      <c r="B15" s="174"/>
    </row>
    <row r="16" spans="1:6" ht="13.8">
      <c r="B16" s="17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0797-E719-4DC5-AF46-B8EA726793D5}">
  <dimension ref="A1:G91"/>
  <sheetViews>
    <sheetView zoomScale="90" zoomScaleNormal="90" workbookViewId="0"/>
  </sheetViews>
  <sheetFormatPr defaultColWidth="9.109375" defaultRowHeight="13.2"/>
  <cols>
    <col min="1" max="1" width="15.88671875" style="170" customWidth="1"/>
    <col min="2" max="2" width="11.33203125" style="170" customWidth="1"/>
    <col min="3" max="3" width="9.44140625" style="170" customWidth="1"/>
    <col min="4" max="4" width="7.109375" style="170" bestFit="1" customWidth="1"/>
    <col min="5" max="5" width="8.88671875" style="170" bestFit="1" customWidth="1"/>
    <col min="6" max="6" width="13.6640625" style="170" customWidth="1"/>
    <col min="7" max="16384" width="9.109375" style="170"/>
  </cols>
  <sheetData>
    <row r="1" spans="1:7" ht="55.2">
      <c r="A1" s="176" t="s">
        <v>147</v>
      </c>
      <c r="B1" s="177" t="s">
        <v>26</v>
      </c>
      <c r="C1" s="177" t="s">
        <v>27</v>
      </c>
      <c r="D1" s="177" t="s">
        <v>21</v>
      </c>
      <c r="E1" s="177" t="s">
        <v>30</v>
      </c>
      <c r="F1" s="176" t="s">
        <v>177</v>
      </c>
    </row>
    <row r="2" spans="1:7" ht="13.8">
      <c r="A2" s="178" t="s">
        <v>105</v>
      </c>
      <c r="B2" s="179">
        <v>7088</v>
      </c>
      <c r="C2" s="179">
        <v>214</v>
      </c>
      <c r="D2" s="179">
        <v>6110</v>
      </c>
      <c r="E2" s="180">
        <v>521</v>
      </c>
      <c r="F2" s="180">
        <v>880</v>
      </c>
      <c r="G2" s="181"/>
    </row>
    <row r="3" spans="1:7" ht="13.8">
      <c r="A3" s="178" t="s">
        <v>106</v>
      </c>
      <c r="B3" s="179">
        <v>9054</v>
      </c>
      <c r="C3" s="179">
        <v>319</v>
      </c>
      <c r="D3" s="179">
        <v>7565</v>
      </c>
      <c r="E3" s="180">
        <v>712</v>
      </c>
      <c r="F3" s="180">
        <v>950</v>
      </c>
      <c r="G3" s="181"/>
    </row>
    <row r="4" spans="1:7" ht="13.8">
      <c r="A4" s="178" t="s">
        <v>107</v>
      </c>
      <c r="B4" s="179">
        <v>8974</v>
      </c>
      <c r="C4" s="179">
        <v>266</v>
      </c>
      <c r="D4" s="179">
        <v>7650</v>
      </c>
      <c r="E4" s="180">
        <v>518</v>
      </c>
      <c r="F4" s="180">
        <v>1010</v>
      </c>
      <c r="G4" s="181"/>
    </row>
    <row r="5" spans="1:7" ht="13.8">
      <c r="A5" s="178" t="s">
        <v>108</v>
      </c>
      <c r="B5" s="179">
        <v>7721</v>
      </c>
      <c r="C5" s="179">
        <v>622</v>
      </c>
      <c r="D5" s="179">
        <v>7200</v>
      </c>
      <c r="E5" s="180">
        <v>424</v>
      </c>
      <c r="F5" s="180">
        <v>1020</v>
      </c>
      <c r="G5" s="181"/>
    </row>
    <row r="6" spans="1:7" ht="13.8">
      <c r="A6" s="178" t="s">
        <v>109</v>
      </c>
      <c r="B6" s="179">
        <v>8651</v>
      </c>
      <c r="C6" s="179">
        <v>699</v>
      </c>
      <c r="D6" s="179">
        <v>7893</v>
      </c>
      <c r="E6" s="180">
        <v>421</v>
      </c>
      <c r="F6" s="180">
        <v>1045</v>
      </c>
      <c r="G6" s="181"/>
    </row>
    <row r="7" spans="1:7" ht="13.8">
      <c r="A7" s="178" t="s">
        <v>110</v>
      </c>
      <c r="B7" s="179">
        <v>10128</v>
      </c>
      <c r="C7" s="179">
        <v>521</v>
      </c>
      <c r="D7" s="179">
        <v>8890</v>
      </c>
      <c r="E7" s="180">
        <v>705</v>
      </c>
      <c r="F7" s="180">
        <v>1045</v>
      </c>
      <c r="G7" s="181"/>
    </row>
    <row r="8" spans="1:7" ht="13.8">
      <c r="A8" s="178" t="s">
        <v>111</v>
      </c>
      <c r="B8" s="179">
        <v>9505</v>
      </c>
      <c r="C8" s="179">
        <v>555</v>
      </c>
      <c r="D8" s="179">
        <v>8691</v>
      </c>
      <c r="E8" s="180">
        <v>680</v>
      </c>
      <c r="F8" s="180">
        <v>1020</v>
      </c>
      <c r="G8" s="181"/>
    </row>
    <row r="9" spans="1:7" ht="13.8">
      <c r="A9" s="178" t="s">
        <v>112</v>
      </c>
      <c r="B9" s="179">
        <v>9474</v>
      </c>
      <c r="C9" s="179">
        <v>976</v>
      </c>
      <c r="D9" s="179">
        <v>8630</v>
      </c>
      <c r="E9" s="179">
        <v>528</v>
      </c>
      <c r="F9" s="179">
        <v>1035</v>
      </c>
      <c r="G9" s="181"/>
    </row>
    <row r="10" spans="1:7" ht="13.8">
      <c r="A10" s="178" t="s">
        <v>34</v>
      </c>
      <c r="B10" s="179">
        <v>8897</v>
      </c>
      <c r="C10" s="179">
        <v>779</v>
      </c>
      <c r="D10" s="179">
        <v>8200</v>
      </c>
      <c r="E10" s="180">
        <v>624</v>
      </c>
      <c r="F10" s="180">
        <v>1025</v>
      </c>
      <c r="G10" s="181"/>
    </row>
    <row r="11" spans="1:7" ht="13.8">
      <c r="A11" s="178" t="s">
        <v>53</v>
      </c>
      <c r="B11" s="179">
        <v>10341</v>
      </c>
      <c r="C11" s="179">
        <v>1800</v>
      </c>
      <c r="D11" s="179">
        <v>10000</v>
      </c>
      <c r="E11" s="180">
        <v>375</v>
      </c>
      <c r="F11" s="180">
        <v>1025</v>
      </c>
      <c r="G11" s="181"/>
    </row>
    <row r="12" spans="1:7" ht="13.8">
      <c r="A12" s="178" t="s">
        <v>176</v>
      </c>
      <c r="B12" s="181">
        <v>10500</v>
      </c>
      <c r="C12" s="181">
        <v>1150</v>
      </c>
      <c r="D12" s="181">
        <v>10300</v>
      </c>
      <c r="E12" s="181">
        <v>675</v>
      </c>
      <c r="F12" s="181">
        <v>1025</v>
      </c>
      <c r="G12" s="181"/>
    </row>
    <row r="13" spans="1:7" ht="13.8">
      <c r="A13" s="178" t="s">
        <v>178</v>
      </c>
      <c r="B13" s="179">
        <v>9700</v>
      </c>
      <c r="C13" s="179">
        <v>1650</v>
      </c>
      <c r="D13" s="179">
        <v>10300</v>
      </c>
      <c r="E13" s="180">
        <v>675</v>
      </c>
      <c r="F13" s="180">
        <v>1025</v>
      </c>
      <c r="G13" s="181"/>
    </row>
    <row r="14" spans="1:7" ht="13.8">
      <c r="A14" s="178"/>
      <c r="B14" s="182"/>
      <c r="C14" s="182"/>
      <c r="D14" s="179"/>
      <c r="E14" s="180"/>
      <c r="F14" s="180"/>
    </row>
    <row r="15" spans="1:7" ht="13.8">
      <c r="A15" s="178"/>
      <c r="B15" s="182"/>
      <c r="C15" s="182"/>
      <c r="D15" s="179"/>
      <c r="E15" s="180"/>
      <c r="F15" s="180"/>
      <c r="G15" s="181"/>
    </row>
    <row r="16" spans="1:7" ht="13.8">
      <c r="A16" s="178"/>
      <c r="B16" s="182"/>
      <c r="C16" s="182"/>
      <c r="D16" s="179"/>
      <c r="E16" s="180"/>
      <c r="F16" s="180"/>
    </row>
    <row r="17" spans="1:6" ht="13.8">
      <c r="A17" s="178"/>
      <c r="B17" s="182"/>
      <c r="C17" s="182"/>
      <c r="D17" s="179"/>
      <c r="E17" s="180"/>
      <c r="F17" s="180"/>
    </row>
    <row r="18" spans="1:6" ht="13.8">
      <c r="A18" s="178"/>
      <c r="B18" s="182"/>
      <c r="C18" s="182"/>
      <c r="D18" s="179"/>
      <c r="E18" s="179"/>
      <c r="F18" s="179"/>
    </row>
    <row r="19" spans="1:6" ht="13.8">
      <c r="A19" s="178"/>
      <c r="B19" s="182"/>
      <c r="C19" s="182"/>
      <c r="D19" s="179"/>
      <c r="E19" s="180"/>
      <c r="F19" s="180"/>
    </row>
    <row r="20" spans="1:6" ht="13.8">
      <c r="A20" s="178"/>
      <c r="B20" s="182"/>
      <c r="C20" s="182"/>
      <c r="D20" s="179"/>
      <c r="E20" s="180"/>
      <c r="F20" s="180"/>
    </row>
    <row r="21" spans="1:6" ht="13.8">
      <c r="A21" s="178"/>
      <c r="B21" s="182"/>
      <c r="C21" s="182"/>
      <c r="D21" s="179"/>
      <c r="E21" s="180"/>
      <c r="F21" s="180"/>
    </row>
    <row r="22" spans="1:6" ht="13.8">
      <c r="A22" s="178"/>
      <c r="B22" s="182"/>
      <c r="C22" s="182"/>
      <c r="D22" s="179"/>
      <c r="E22" s="180"/>
      <c r="F22" s="180"/>
    </row>
    <row r="23" spans="1:6" ht="13.8">
      <c r="A23" s="178"/>
      <c r="B23" s="182"/>
      <c r="C23" s="182"/>
      <c r="D23" s="179"/>
      <c r="E23" s="180"/>
      <c r="F23" s="180"/>
    </row>
    <row r="24" spans="1:6" ht="13.8">
      <c r="A24" s="178"/>
      <c r="B24" s="182"/>
      <c r="C24" s="182"/>
      <c r="D24" s="179"/>
      <c r="E24" s="180"/>
      <c r="F24" s="180"/>
    </row>
    <row r="25" spans="1:6" ht="13.8">
      <c r="A25" s="178"/>
      <c r="B25" s="182"/>
      <c r="C25" s="182"/>
      <c r="D25" s="179"/>
      <c r="E25" s="180"/>
      <c r="F25" s="180"/>
    </row>
    <row r="26" spans="1:6" ht="13.8">
      <c r="A26" s="178"/>
      <c r="B26" s="182"/>
      <c r="C26" s="182"/>
      <c r="D26" s="179"/>
      <c r="E26" s="180"/>
      <c r="F26" s="180"/>
    </row>
    <row r="27" spans="1:6" ht="13.8">
      <c r="A27" s="178"/>
      <c r="B27" s="182"/>
      <c r="C27" s="182"/>
      <c r="D27" s="179"/>
      <c r="E27" s="179"/>
      <c r="F27" s="179"/>
    </row>
    <row r="28" spans="1:6" ht="13.8">
      <c r="A28" s="178"/>
      <c r="B28" s="182"/>
      <c r="C28" s="182"/>
      <c r="D28" s="179"/>
      <c r="E28" s="180"/>
      <c r="F28" s="180"/>
    </row>
    <row r="29" spans="1:6">
      <c r="A29" s="183"/>
      <c r="B29" s="183"/>
      <c r="C29" s="183"/>
      <c r="D29" s="183"/>
    </row>
    <row r="30" spans="1:6">
      <c r="A30" s="183"/>
      <c r="B30" s="183"/>
      <c r="C30" s="183"/>
      <c r="D30" s="183"/>
    </row>
    <row r="31" spans="1:6">
      <c r="A31" s="183"/>
      <c r="B31" s="183"/>
      <c r="C31" s="183"/>
      <c r="D31" s="183"/>
    </row>
    <row r="32" spans="1:6">
      <c r="A32" s="183"/>
      <c r="B32" s="183"/>
      <c r="C32" s="183"/>
      <c r="D32" s="183"/>
    </row>
    <row r="33" spans="1:4">
      <c r="A33" s="183"/>
      <c r="B33" s="183"/>
      <c r="C33" s="183"/>
      <c r="D33" s="183"/>
    </row>
    <row r="34" spans="1:4">
      <c r="A34" s="183"/>
      <c r="B34" s="183"/>
      <c r="C34" s="183"/>
      <c r="D34" s="183"/>
    </row>
    <row r="35" spans="1:4">
      <c r="A35" s="183"/>
      <c r="B35" s="183"/>
      <c r="C35" s="183"/>
      <c r="D35" s="183"/>
    </row>
    <row r="36" spans="1:4">
      <c r="A36" s="183"/>
      <c r="B36" s="183"/>
      <c r="C36" s="183"/>
      <c r="D36" s="183"/>
    </row>
    <row r="37" spans="1:4">
      <c r="A37" s="183"/>
      <c r="B37" s="183"/>
      <c r="C37" s="183"/>
      <c r="D37" s="183"/>
    </row>
    <row r="38" spans="1:4">
      <c r="A38" s="183"/>
      <c r="B38" s="183"/>
      <c r="C38" s="183"/>
      <c r="D38" s="183"/>
    </row>
    <row r="39" spans="1:4">
      <c r="A39" s="183"/>
      <c r="B39" s="183"/>
      <c r="C39" s="183"/>
      <c r="D39" s="183"/>
    </row>
    <row r="40" spans="1:4">
      <c r="A40" s="183"/>
      <c r="B40" s="183"/>
      <c r="C40" s="183"/>
      <c r="D40" s="183"/>
    </row>
    <row r="41" spans="1:4">
      <c r="A41" s="183"/>
      <c r="B41" s="183"/>
      <c r="C41" s="183"/>
      <c r="D41" s="183"/>
    </row>
    <row r="42" spans="1:4">
      <c r="A42" s="183"/>
      <c r="B42" s="183"/>
      <c r="C42" s="183"/>
      <c r="D42" s="183"/>
    </row>
    <row r="43" spans="1:4">
      <c r="A43" s="183"/>
      <c r="B43" s="183"/>
      <c r="C43" s="183"/>
      <c r="D43" s="183"/>
    </row>
    <row r="44" spans="1:4">
      <c r="A44" s="183"/>
      <c r="B44" s="183"/>
      <c r="C44" s="183"/>
      <c r="D44" s="183"/>
    </row>
    <row r="45" spans="1:4">
      <c r="A45" s="183"/>
      <c r="B45" s="183"/>
      <c r="C45" s="183"/>
      <c r="D45" s="183"/>
    </row>
    <row r="46" spans="1:4">
      <c r="A46" s="183"/>
      <c r="B46" s="183"/>
      <c r="C46" s="183"/>
      <c r="D46" s="183"/>
    </row>
    <row r="47" spans="1:4">
      <c r="A47" s="183"/>
      <c r="B47" s="183"/>
      <c r="C47" s="183"/>
      <c r="D47" s="183"/>
    </row>
    <row r="48" spans="1:4">
      <c r="A48" s="183"/>
      <c r="B48" s="183"/>
      <c r="C48" s="183"/>
      <c r="D48" s="183"/>
    </row>
    <row r="49" spans="1:4">
      <c r="A49" s="183"/>
      <c r="B49" s="183"/>
      <c r="C49" s="183"/>
      <c r="D49" s="183"/>
    </row>
    <row r="50" spans="1:4">
      <c r="A50" s="183"/>
      <c r="B50" s="183"/>
      <c r="C50" s="183"/>
      <c r="D50" s="183"/>
    </row>
    <row r="51" spans="1:4">
      <c r="A51" s="183"/>
      <c r="B51" s="183"/>
      <c r="C51" s="183"/>
      <c r="D51" s="183"/>
    </row>
    <row r="52" spans="1:4">
      <c r="A52" s="183"/>
      <c r="B52" s="183"/>
      <c r="C52" s="183"/>
      <c r="D52" s="183"/>
    </row>
    <row r="53" spans="1:4">
      <c r="A53" s="183"/>
      <c r="B53" s="183"/>
      <c r="C53" s="183"/>
      <c r="D53" s="183"/>
    </row>
    <row r="54" spans="1:4">
      <c r="A54" s="183"/>
      <c r="B54" s="183"/>
      <c r="C54" s="183"/>
      <c r="D54" s="183"/>
    </row>
    <row r="55" spans="1:4">
      <c r="A55" s="183"/>
      <c r="B55" s="183"/>
      <c r="C55" s="183"/>
      <c r="D55" s="183"/>
    </row>
    <row r="56" spans="1:4">
      <c r="A56" s="183"/>
      <c r="B56" s="183"/>
      <c r="C56" s="183"/>
      <c r="D56" s="183"/>
    </row>
    <row r="57" spans="1:4">
      <c r="A57" s="183"/>
      <c r="B57" s="183"/>
      <c r="C57" s="183"/>
      <c r="D57" s="183"/>
    </row>
    <row r="58" spans="1:4">
      <c r="A58" s="183"/>
      <c r="B58" s="183"/>
      <c r="C58" s="183"/>
      <c r="D58" s="183"/>
    </row>
    <row r="59" spans="1:4">
      <c r="A59" s="183"/>
      <c r="B59" s="183"/>
      <c r="C59" s="183"/>
      <c r="D59" s="183"/>
    </row>
    <row r="60" spans="1:4">
      <c r="A60" s="183"/>
      <c r="B60" s="183"/>
      <c r="C60" s="183"/>
      <c r="D60" s="183"/>
    </row>
    <row r="61" spans="1:4">
      <c r="A61" s="183"/>
      <c r="B61" s="183"/>
      <c r="C61" s="183"/>
      <c r="D61" s="183"/>
    </row>
    <row r="62" spans="1:4">
      <c r="A62" s="183"/>
      <c r="B62" s="183"/>
      <c r="C62" s="183"/>
      <c r="D62" s="183"/>
    </row>
    <row r="63" spans="1:4">
      <c r="A63" s="183"/>
      <c r="B63" s="183"/>
      <c r="C63" s="183"/>
      <c r="D63" s="183"/>
    </row>
    <row r="64" spans="1:4">
      <c r="A64" s="183"/>
      <c r="B64" s="183"/>
      <c r="C64" s="183"/>
      <c r="D64" s="183"/>
    </row>
    <row r="65" spans="1:4">
      <c r="A65" s="183"/>
      <c r="B65" s="183"/>
      <c r="C65" s="183"/>
      <c r="D65" s="183"/>
    </row>
    <row r="66" spans="1:4">
      <c r="A66" s="183"/>
      <c r="B66" s="183"/>
      <c r="C66" s="183"/>
      <c r="D66" s="183"/>
    </row>
    <row r="67" spans="1:4">
      <c r="A67" s="183"/>
      <c r="B67" s="183"/>
      <c r="C67" s="183"/>
      <c r="D67" s="183"/>
    </row>
    <row r="68" spans="1:4">
      <c r="A68" s="183"/>
      <c r="B68" s="183"/>
      <c r="C68" s="183"/>
      <c r="D68" s="183"/>
    </row>
    <row r="69" spans="1:4">
      <c r="A69" s="183"/>
      <c r="B69" s="183"/>
      <c r="C69" s="183"/>
      <c r="D69" s="183"/>
    </row>
    <row r="70" spans="1:4">
      <c r="A70" s="183"/>
      <c r="B70" s="183"/>
      <c r="C70" s="183"/>
      <c r="D70" s="183"/>
    </row>
    <row r="71" spans="1:4">
      <c r="A71" s="183"/>
      <c r="B71" s="183"/>
      <c r="C71" s="183"/>
      <c r="D71" s="183"/>
    </row>
    <row r="72" spans="1:4">
      <c r="A72" s="183"/>
      <c r="B72" s="183"/>
      <c r="C72" s="183"/>
      <c r="D72" s="183"/>
    </row>
    <row r="73" spans="1:4">
      <c r="A73" s="183"/>
      <c r="B73" s="183"/>
      <c r="C73" s="183"/>
      <c r="D73" s="183"/>
    </row>
    <row r="74" spans="1:4">
      <c r="A74" s="183"/>
      <c r="B74" s="183"/>
      <c r="C74" s="183"/>
      <c r="D74" s="183"/>
    </row>
    <row r="75" spans="1:4">
      <c r="A75" s="183"/>
      <c r="B75" s="183"/>
      <c r="C75" s="183"/>
      <c r="D75" s="183"/>
    </row>
    <row r="76" spans="1:4">
      <c r="A76" s="183"/>
      <c r="B76" s="183"/>
      <c r="C76" s="183"/>
      <c r="D76" s="183"/>
    </row>
    <row r="77" spans="1:4">
      <c r="A77" s="183"/>
      <c r="B77" s="183"/>
      <c r="C77" s="183"/>
      <c r="D77" s="183"/>
    </row>
    <row r="78" spans="1:4">
      <c r="A78" s="183"/>
      <c r="B78" s="183"/>
      <c r="C78" s="183"/>
      <c r="D78" s="183"/>
    </row>
    <row r="79" spans="1:4">
      <c r="A79" s="183"/>
      <c r="B79" s="183"/>
      <c r="C79" s="183"/>
      <c r="D79" s="183"/>
    </row>
    <row r="80" spans="1:4">
      <c r="A80" s="183"/>
      <c r="B80" s="183"/>
      <c r="C80" s="183"/>
      <c r="D80" s="183"/>
    </row>
    <row r="81" spans="1:4">
      <c r="A81" s="183"/>
      <c r="B81" s="183"/>
      <c r="C81" s="183"/>
      <c r="D81" s="183"/>
    </row>
    <row r="82" spans="1:4">
      <c r="A82" s="183"/>
      <c r="B82" s="183"/>
      <c r="C82" s="183"/>
      <c r="D82" s="183"/>
    </row>
    <row r="83" spans="1:4">
      <c r="A83" s="183"/>
      <c r="B83" s="183"/>
      <c r="C83" s="183"/>
      <c r="D83" s="183"/>
    </row>
    <row r="84" spans="1:4">
      <c r="A84" s="183"/>
      <c r="B84" s="183"/>
      <c r="C84" s="183"/>
      <c r="D84" s="183"/>
    </row>
    <row r="85" spans="1:4">
      <c r="A85" s="183"/>
      <c r="B85" s="183"/>
      <c r="C85" s="183"/>
      <c r="D85" s="183"/>
    </row>
    <row r="86" spans="1:4">
      <c r="A86" s="183"/>
      <c r="B86" s="183"/>
      <c r="C86" s="183"/>
      <c r="D86" s="183"/>
    </row>
    <row r="87" spans="1:4">
      <c r="A87" s="183"/>
      <c r="B87" s="183"/>
      <c r="C87" s="183"/>
      <c r="D87" s="183"/>
    </row>
    <row r="88" spans="1:4">
      <c r="A88" s="183"/>
      <c r="B88" s="183"/>
      <c r="C88" s="183"/>
      <c r="D88" s="183"/>
    </row>
    <row r="89" spans="1:4">
      <c r="A89" s="183"/>
      <c r="B89" s="183"/>
      <c r="C89" s="183"/>
      <c r="D89" s="183"/>
    </row>
    <row r="90" spans="1:4">
      <c r="A90" s="183"/>
      <c r="B90" s="183"/>
      <c r="C90" s="183"/>
      <c r="D90" s="183"/>
    </row>
    <row r="91" spans="1:4">
      <c r="A91" s="183"/>
      <c r="B91" s="183"/>
      <c r="C91" s="183"/>
      <c r="D91" s="18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3"/>
  <sheetViews>
    <sheetView showGridLines="0" topLeftCell="A25" zoomScale="70" zoomScaleNormal="70" workbookViewId="0">
      <selection activeCell="D29" sqref="D28:D29"/>
    </sheetView>
  </sheetViews>
  <sheetFormatPr defaultColWidth="9.109375" defaultRowHeight="13.2"/>
  <cols>
    <col min="1" max="1" width="21.6640625" style="18" customWidth="1"/>
    <col min="2" max="2" width="14.109375" style="18" bestFit="1" customWidth="1"/>
    <col min="3" max="3" width="9.5546875" style="18" customWidth="1"/>
    <col min="4" max="4" width="26.6640625" style="18" customWidth="1"/>
    <col min="5" max="5" width="9.6640625" style="18" customWidth="1"/>
    <col min="6" max="6" width="10.6640625" style="18" customWidth="1"/>
    <col min="7" max="7" width="8.6640625" style="18" bestFit="1" customWidth="1"/>
    <col min="8" max="8" width="9.6640625" style="18" customWidth="1"/>
    <col min="9" max="9" width="1.6640625" style="18" customWidth="1"/>
    <col min="10" max="10" width="9.6640625" style="18" customWidth="1"/>
    <col min="11" max="12" width="10.6640625" style="18" customWidth="1"/>
    <col min="13" max="13" width="10.33203125" style="18" customWidth="1"/>
    <col min="14" max="14" width="9.6640625" style="18" customWidth="1"/>
    <col min="15" max="16" width="9.109375" style="18"/>
    <col min="17" max="17" width="15.44140625" style="18" bestFit="1" customWidth="1"/>
    <col min="18" max="18" width="10.109375" style="18" bestFit="1" customWidth="1"/>
    <col min="19" max="16384" width="9.109375" style="18"/>
  </cols>
  <sheetData>
    <row r="1" spans="1:23" ht="13.8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8">
      <c r="A2" s="19"/>
      <c r="B2" s="20" t="s">
        <v>13</v>
      </c>
      <c r="C2" s="153"/>
      <c r="D2" s="21" t="s">
        <v>14</v>
      </c>
      <c r="E2" s="22"/>
      <c r="F2" s="153" t="s">
        <v>15</v>
      </c>
      <c r="G2" s="153"/>
      <c r="H2" s="153"/>
      <c r="I2" s="23"/>
      <c r="J2" s="22"/>
      <c r="K2" s="153"/>
      <c r="L2" s="24" t="s">
        <v>16</v>
      </c>
      <c r="M2" s="153"/>
      <c r="N2" s="19"/>
    </row>
    <row r="3" spans="1:23" ht="13.8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8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">
      <c r="A5" s="19"/>
      <c r="B5" s="32" t="s">
        <v>31</v>
      </c>
      <c r="C5" s="154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34</v>
      </c>
      <c r="B6" s="34">
        <v>83.353999999999999</v>
      </c>
      <c r="C6" s="34">
        <v>82.602999999999994</v>
      </c>
      <c r="D6" s="34">
        <f>F6/C6</f>
        <v>51.042964541239421</v>
      </c>
      <c r="E6" s="35">
        <f>E14</f>
        <v>524.54100000000005</v>
      </c>
      <c r="F6" s="36">
        <v>4216.3019999999997</v>
      </c>
      <c r="G6" s="37">
        <f>G27</f>
        <v>19.815142646399998</v>
      </c>
      <c r="H6" s="37">
        <f>SUM(E6:G6)</f>
        <v>4760.6581426463999</v>
      </c>
      <c r="I6" s="19"/>
      <c r="J6" s="36">
        <f>J27</f>
        <v>2140.6021535309255</v>
      </c>
      <c r="K6" s="36">
        <f t="shared" ref="K6:K8" si="0">M6-L6-J6</f>
        <v>97.255326339474323</v>
      </c>
      <c r="L6" s="37">
        <f>L27</f>
        <v>2265.8216627759998</v>
      </c>
      <c r="M6" s="37">
        <f>H6-N6</f>
        <v>4503.6791426463997</v>
      </c>
      <c r="N6" s="37">
        <f>N26</f>
        <v>256.97899999999998</v>
      </c>
    </row>
    <row r="7" spans="1:23" ht="16.5" customHeight="1">
      <c r="A7" s="19" t="s">
        <v>35</v>
      </c>
      <c r="B7" s="34">
        <v>87.194999999999993</v>
      </c>
      <c r="C7" s="34">
        <v>86.331999999999994</v>
      </c>
      <c r="D7" s="34">
        <f>F7/C7</f>
        <v>51.374137052309692</v>
      </c>
      <c r="E7" s="35">
        <f>N6</f>
        <v>256.97899999999998</v>
      </c>
      <c r="F7" s="36">
        <v>4435.232</v>
      </c>
      <c r="G7" s="37">
        <v>15</v>
      </c>
      <c r="H7" s="37">
        <f>SUM(E7:G7)</f>
        <v>4707.2110000000002</v>
      </c>
      <c r="I7" s="19"/>
      <c r="J7" s="36">
        <v>2205</v>
      </c>
      <c r="K7" s="36">
        <f t="shared" si="0"/>
        <v>117.27958257128012</v>
      </c>
      <c r="L7" s="37">
        <v>2160</v>
      </c>
      <c r="M7" s="37">
        <f>H7-N7</f>
        <v>4482.2795825712801</v>
      </c>
      <c r="N7" s="37">
        <v>224.93141742872012</v>
      </c>
    </row>
    <row r="8" spans="1:23" ht="16.5" customHeight="1">
      <c r="A8" s="19" t="s">
        <v>36</v>
      </c>
      <c r="B8" s="34">
        <v>88.025000000000006</v>
      </c>
      <c r="C8" s="34">
        <v>87.210999999999999</v>
      </c>
      <c r="D8" s="34">
        <f>F8/C8</f>
        <v>51.949421517927782</v>
      </c>
      <c r="E8" s="35">
        <f>N7</f>
        <v>224.93141742872012</v>
      </c>
      <c r="F8" s="36">
        <v>4530.5609999999997</v>
      </c>
      <c r="G8" s="37">
        <v>15</v>
      </c>
      <c r="H8" s="37">
        <f>SUM(E8:G8)</f>
        <v>4770.4924174287198</v>
      </c>
      <c r="I8" s="19"/>
      <c r="J8" s="36">
        <v>2245</v>
      </c>
      <c r="K8" s="36">
        <f t="shared" si="0"/>
        <v>125.67741742872022</v>
      </c>
      <c r="L8" s="37">
        <v>2155</v>
      </c>
      <c r="M8" s="37">
        <f>H8-N8</f>
        <v>4525.6774174287202</v>
      </c>
      <c r="N8" s="37">
        <v>244.815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34</v>
      </c>
      <c r="B10" s="124"/>
      <c r="C10" s="124"/>
      <c r="D10" s="124"/>
      <c r="E10" s="43"/>
      <c r="F10" s="44"/>
      <c r="G10" s="7"/>
      <c r="H10" s="14"/>
      <c r="I10" s="124"/>
      <c r="J10" s="14"/>
      <c r="K10" s="45"/>
      <c r="L10" s="7"/>
      <c r="M10" s="7"/>
      <c r="N10" s="14"/>
    </row>
    <row r="11" spans="1:23" ht="16.5" customHeight="1">
      <c r="A11" s="23" t="s">
        <v>37</v>
      </c>
      <c r="B11" s="124"/>
      <c r="C11" s="124"/>
      <c r="D11" s="151"/>
      <c r="E11" s="43"/>
      <c r="F11" s="44"/>
      <c r="G11" s="7">
        <f>(44527.6*36.744)/1000000</f>
        <v>1.6361221343999999</v>
      </c>
      <c r="I11" s="124"/>
      <c r="J11" s="14">
        <f>((5131665*0.907185)*36.744)/1000000</f>
        <v>171.05689738659061</v>
      </c>
      <c r="K11" s="42"/>
      <c r="L11" s="7">
        <f>(7192128.4*36.744)/1000000</f>
        <v>264.26756592959998</v>
      </c>
      <c r="M11" s="7"/>
      <c r="N11" s="14"/>
      <c r="Q11" s="151"/>
    </row>
    <row r="12" spans="1:23" ht="16.5" customHeight="1">
      <c r="A12" s="23" t="s">
        <v>38</v>
      </c>
      <c r="B12" s="124"/>
      <c r="C12" s="124"/>
      <c r="D12" s="151"/>
      <c r="E12" s="46"/>
      <c r="F12" s="44"/>
      <c r="G12" s="7">
        <f>(24879.1*36.744)/1000000</f>
        <v>0.91415765039999997</v>
      </c>
      <c r="I12" s="124"/>
      <c r="J12" s="14">
        <f>((5897079*0.907185)*36.744)/1000000</f>
        <v>196.57090581392558</v>
      </c>
      <c r="K12" s="42"/>
      <c r="L12" s="7">
        <f>(11588995.4*36.744)/1000000</f>
        <v>425.82604697760001</v>
      </c>
      <c r="M12" s="7"/>
      <c r="N12" s="14"/>
      <c r="Q12" s="151"/>
    </row>
    <row r="13" spans="1:23" ht="16.5" customHeight="1">
      <c r="A13" s="23" t="s">
        <v>39</v>
      </c>
      <c r="B13" s="124"/>
      <c r="C13" s="124"/>
      <c r="D13" s="151"/>
      <c r="E13" s="46"/>
      <c r="F13" s="44"/>
      <c r="G13" s="7">
        <f>(12427.6*36.744)/1000000</f>
        <v>0.4566397344</v>
      </c>
      <c r="I13" s="124"/>
      <c r="J13" s="14">
        <f>((5731207*0.907185)*36.744)/1000000</f>
        <v>191.04179397920748</v>
      </c>
      <c r="K13" s="42"/>
      <c r="L13" s="7">
        <f>(10861958.6*36.744)/1000000</f>
        <v>399.11180679839998</v>
      </c>
      <c r="M13" s="7"/>
      <c r="N13" s="14"/>
      <c r="Q13" s="151"/>
    </row>
    <row r="14" spans="1:23" ht="16.5" customHeight="1">
      <c r="A14" s="23" t="s">
        <v>40</v>
      </c>
      <c r="B14" s="124"/>
      <c r="C14" s="124"/>
      <c r="E14" s="43">
        <v>524.54100000000005</v>
      </c>
      <c r="F14" s="44">
        <v>4216.3019999999997</v>
      </c>
      <c r="G14" s="7">
        <f>G11+G12+G13</f>
        <v>3.0069195191999998</v>
      </c>
      <c r="H14" s="14">
        <f>E14+F14+G14</f>
        <v>4743.8499195191998</v>
      </c>
      <c r="I14" s="124"/>
      <c r="J14" s="14">
        <f>J11+J12+J13</f>
        <v>558.66959717972361</v>
      </c>
      <c r="K14" s="42">
        <f>M14-L14-J14</f>
        <v>149.23490263387646</v>
      </c>
      <c r="L14" s="7">
        <f>L11+L12+L13</f>
        <v>1089.2054197056</v>
      </c>
      <c r="M14" s="7">
        <f>H14-N14</f>
        <v>1797.1099195192</v>
      </c>
      <c r="N14" s="14">
        <v>2946.74</v>
      </c>
    </row>
    <row r="15" spans="1:23" ht="16.95" customHeight="1">
      <c r="A15" s="19" t="s">
        <v>41</v>
      </c>
      <c r="B15" s="124"/>
      <c r="C15" s="124"/>
      <c r="D15" s="151"/>
      <c r="E15" s="43"/>
      <c r="F15" s="7"/>
      <c r="G15" s="7">
        <f>(23426.8*36.744)/1000000</f>
        <v>0.86079433919999992</v>
      </c>
      <c r="H15" s="14"/>
      <c r="I15" s="124"/>
      <c r="J15" s="14">
        <f>((5794233*0.907185)*36.744)/1000000</f>
        <v>193.14267780827416</v>
      </c>
      <c r="K15" s="42"/>
      <c r="L15" s="7">
        <f>(10517316.5*36.744)/1000000</f>
        <v>386.44827747599999</v>
      </c>
      <c r="M15" s="7"/>
      <c r="N15" s="14"/>
      <c r="Q15" s="151"/>
    </row>
    <row r="16" spans="1:23" ht="16.95" customHeight="1">
      <c r="A16" s="19" t="s">
        <v>42</v>
      </c>
      <c r="B16" s="124"/>
      <c r="C16" s="124"/>
      <c r="D16" s="151"/>
      <c r="E16" s="43"/>
      <c r="F16" s="7"/>
      <c r="G16" s="7">
        <f>(19644.9*36.744)/1000000</f>
        <v>0.72183220560000005</v>
      </c>
      <c r="H16" s="14"/>
      <c r="I16" s="124"/>
      <c r="J16" s="14">
        <f>((5895360*0.907185)*36.744)/1000000</f>
        <v>196.5136053458304</v>
      </c>
      <c r="K16" s="42"/>
      <c r="L16" s="7">
        <f>(9030505.3*36.744)/1000000</f>
        <v>331.81688674320003</v>
      </c>
      <c r="M16" s="7"/>
      <c r="N16" s="14"/>
      <c r="Q16" s="151"/>
    </row>
    <row r="17" spans="1:17" ht="16.95" customHeight="1">
      <c r="A17" s="19" t="s">
        <v>43</v>
      </c>
      <c r="B17" s="124"/>
      <c r="C17" s="124"/>
      <c r="D17" s="151"/>
      <c r="E17" s="43"/>
      <c r="F17" s="7"/>
      <c r="G17" s="7">
        <f>(22550.4*36.744)/1000000</f>
        <v>0.82859189760000007</v>
      </c>
      <c r="H17" s="14"/>
      <c r="I17" s="124"/>
      <c r="J17" s="14">
        <f>((4930499*0.907185)*36.744)/1000000</f>
        <v>164.35130927441435</v>
      </c>
      <c r="K17" s="42"/>
      <c r="L17" s="7">
        <f>(4482349.1*36.744)/1000000</f>
        <v>164.69943533039998</v>
      </c>
      <c r="M17" s="7"/>
      <c r="N17" s="14"/>
      <c r="Q17" s="151"/>
    </row>
    <row r="18" spans="1:17" ht="16.95" customHeight="1">
      <c r="A18" s="19" t="s">
        <v>44</v>
      </c>
      <c r="B18" s="124"/>
      <c r="C18" s="124"/>
      <c r="E18" s="43">
        <f>N14</f>
        <v>2946.74</v>
      </c>
      <c r="F18" s="7"/>
      <c r="G18" s="7">
        <f>SUM(G15:G17)</f>
        <v>2.4112184424000001</v>
      </c>
      <c r="H18" s="14">
        <f>E18+F18+G18</f>
        <v>2949.1512184423996</v>
      </c>
      <c r="I18" s="124"/>
      <c r="J18" s="14">
        <f>SUM(J15:J17)</f>
        <v>554.00759242851893</v>
      </c>
      <c r="K18" s="42">
        <f>M18-L18-J18</f>
        <v>-49.504973535719273</v>
      </c>
      <c r="L18" s="7">
        <f>SUM(L15:L17)</f>
        <v>882.96459954959994</v>
      </c>
      <c r="M18" s="7">
        <f>H18-N18</f>
        <v>1387.4672184423996</v>
      </c>
      <c r="N18" s="14">
        <v>1561.684</v>
      </c>
    </row>
    <row r="19" spans="1:17" ht="16.95" customHeight="1">
      <c r="A19" s="19" t="s">
        <v>45</v>
      </c>
      <c r="B19" s="124"/>
      <c r="C19" s="124"/>
      <c r="D19" s="151"/>
      <c r="E19" s="43"/>
      <c r="F19" s="7"/>
      <c r="G19" s="7">
        <f>(26147*36.744)/1000000</f>
        <v>0.96074536799999999</v>
      </c>
      <c r="H19" s="14"/>
      <c r="I19" s="124"/>
      <c r="J19" s="14">
        <f>((5646728*0.907185)*36.744)/1000000</f>
        <v>188.22580430834591</v>
      </c>
      <c r="K19" s="42"/>
      <c r="L19" s="7">
        <f>(2263588.8*36.744)/1000000</f>
        <v>83.173306867199983</v>
      </c>
      <c r="M19" s="7"/>
      <c r="N19" s="47"/>
      <c r="Q19" s="151"/>
    </row>
    <row r="20" spans="1:17" ht="16.95" customHeight="1">
      <c r="A20" s="19" t="s">
        <v>46</v>
      </c>
      <c r="B20" s="124"/>
      <c r="C20" s="124"/>
      <c r="D20" s="151"/>
      <c r="E20" s="43"/>
      <c r="F20" s="7"/>
      <c r="G20" s="7">
        <f>(34537.1*36.744)/1000000</f>
        <v>1.2690312023999999</v>
      </c>
      <c r="H20" s="14"/>
      <c r="I20" s="124"/>
      <c r="J20" s="14">
        <f>((5095631*0.907185)*36.744)/1000000</f>
        <v>169.85575424095885</v>
      </c>
      <c r="K20" s="42"/>
      <c r="L20" s="7">
        <f>(1357192.2*36.744)/1000000</f>
        <v>49.868670196800004</v>
      </c>
      <c r="M20" s="7"/>
      <c r="N20" s="47"/>
      <c r="Q20" s="151"/>
    </row>
    <row r="21" spans="1:17" ht="16.95" customHeight="1">
      <c r="A21" s="19" t="s">
        <v>47</v>
      </c>
      <c r="B21" s="124"/>
      <c r="C21" s="124"/>
      <c r="D21" s="151"/>
      <c r="E21" s="43"/>
      <c r="F21" s="7"/>
      <c r="G21" s="7">
        <f>(50827.9*36.744)/1000000</f>
        <v>1.8676203575999999</v>
      </c>
      <c r="H21" s="14"/>
      <c r="I21" s="124"/>
      <c r="J21" s="14">
        <f>((5205032*0.907185)*36.744)/1000000</f>
        <v>173.50248403158051</v>
      </c>
      <c r="K21" s="42"/>
      <c r="L21" s="7">
        <f>(1338409*36.744)/1000000</f>
        <v>49.178500295999996</v>
      </c>
      <c r="M21" s="7"/>
      <c r="N21" s="47"/>
      <c r="Q21" s="151"/>
    </row>
    <row r="22" spans="1:17" ht="16.95" customHeight="1">
      <c r="A22" s="19" t="s">
        <v>48</v>
      </c>
      <c r="B22" s="124"/>
      <c r="C22" s="124"/>
      <c r="E22" s="43">
        <f>N18</f>
        <v>1561.684</v>
      </c>
      <c r="F22" s="7"/>
      <c r="G22" s="7">
        <f>SUM(G19:G21)</f>
        <v>4.0973969280000002</v>
      </c>
      <c r="H22" s="14">
        <f>E22+F22+G22</f>
        <v>1565.781396928</v>
      </c>
      <c r="I22" s="124"/>
      <c r="J22" s="15">
        <f>SUM(J19:J21)</f>
        <v>531.58404258088524</v>
      </c>
      <c r="K22" s="42">
        <f>M22-L22-J22</f>
        <v>82.936876987114942</v>
      </c>
      <c r="L22" s="7">
        <f>SUM(L19:L21)</f>
        <v>182.22047735999996</v>
      </c>
      <c r="M22" s="7">
        <f>H22-N22</f>
        <v>796.74139692800009</v>
      </c>
      <c r="N22" s="14">
        <v>769.04</v>
      </c>
    </row>
    <row r="23" spans="1:17" ht="16.95" customHeight="1">
      <c r="A23" s="19" t="s">
        <v>49</v>
      </c>
      <c r="B23" s="124"/>
      <c r="C23" s="124"/>
      <c r="D23" s="151"/>
      <c r="E23" s="43"/>
      <c r="F23" s="7"/>
      <c r="G23" s="7">
        <f>(205425.2*36.744)/1000000</f>
        <v>7.5481435487999997</v>
      </c>
      <c r="H23" s="14"/>
      <c r="I23" s="124"/>
      <c r="J23" s="15">
        <f>((4852334*0.907185)*36.744)/1000000</f>
        <v>161.74578798956375</v>
      </c>
      <c r="K23" s="42"/>
      <c r="L23" s="7">
        <f>(924769.8*36.744)/1000000</f>
        <v>33.979741531199998</v>
      </c>
      <c r="M23" s="7"/>
      <c r="N23" s="14"/>
      <c r="Q23" s="151"/>
    </row>
    <row r="24" spans="1:17" ht="16.95" customHeight="1">
      <c r="A24" s="19" t="s">
        <v>50</v>
      </c>
      <c r="B24" s="124"/>
      <c r="C24" s="124"/>
      <c r="D24" s="151"/>
      <c r="E24" s="43"/>
      <c r="F24" s="7"/>
      <c r="G24" s="7">
        <f>(59745.5*36.744)/1000000</f>
        <v>2.1952886519999999</v>
      </c>
      <c r="H24" s="14"/>
      <c r="I24" s="124"/>
      <c r="J24" s="15">
        <f>((4989996*0.907185)*36.744)/1000000</f>
        <v>166.33455880917742</v>
      </c>
      <c r="K24" s="42"/>
      <c r="L24" s="7">
        <f>(947774.2*36.744)/1000000</f>
        <v>34.825015204799996</v>
      </c>
      <c r="M24" s="7"/>
      <c r="N24" s="14"/>
      <c r="Q24" s="151"/>
    </row>
    <row r="25" spans="1:17" ht="16.95" customHeight="1">
      <c r="A25" s="19" t="s">
        <v>51</v>
      </c>
      <c r="B25" s="124"/>
      <c r="C25" s="124"/>
      <c r="D25" s="151"/>
      <c r="E25" s="43"/>
      <c r="F25" s="7"/>
      <c r="G25" s="7">
        <f>(15136.5*36.744)/1000000</f>
        <v>0.55617555600000002</v>
      </c>
      <c r="H25" s="14"/>
      <c r="I25" s="124"/>
      <c r="J25" s="15">
        <f>((5047776*0.907185)*36.744)/1000000</f>
        <v>168.26057454305666</v>
      </c>
      <c r="K25" s="42"/>
      <c r="L25" s="7">
        <f>(1160091.7*36.744)/1000000</f>
        <v>42.626409424800002</v>
      </c>
      <c r="M25" s="7"/>
      <c r="N25" s="14"/>
      <c r="Q25" s="151"/>
    </row>
    <row r="26" spans="1:17" ht="16.95" customHeight="1">
      <c r="A26" s="19" t="s">
        <v>52</v>
      </c>
      <c r="B26" s="124"/>
      <c r="C26" s="124"/>
      <c r="D26" s="124"/>
      <c r="E26" s="43">
        <f>N22</f>
        <v>769.04</v>
      </c>
      <c r="F26" s="7"/>
      <c r="G26" s="7">
        <f>SUM(G23:G25)</f>
        <v>10.299607756799999</v>
      </c>
      <c r="H26" s="14">
        <f>E26+F26+G26</f>
        <v>779.33960775679998</v>
      </c>
      <c r="I26" s="124"/>
      <c r="J26" s="15">
        <f>SUM(J23:J25)</f>
        <v>496.34092134179787</v>
      </c>
      <c r="K26" s="45">
        <f>M26-L26-J26</f>
        <v>-85.411479745797919</v>
      </c>
      <c r="L26" s="7">
        <f>SUM(L23:L25)</f>
        <v>111.4311661608</v>
      </c>
      <c r="M26" s="7">
        <f>H26-N26</f>
        <v>522.36060775679994</v>
      </c>
      <c r="N26" s="14">
        <v>256.97899999999998</v>
      </c>
    </row>
    <row r="27" spans="1:17" s="59" customFormat="1" ht="16.5" customHeight="1">
      <c r="A27" s="23" t="s">
        <v>28</v>
      </c>
      <c r="B27" s="124"/>
      <c r="C27" s="124"/>
      <c r="D27" s="124"/>
      <c r="E27" s="43"/>
      <c r="F27" s="44">
        <f>F14</f>
        <v>4216.3019999999997</v>
      </c>
      <c r="G27" s="7">
        <f>G14+G18+G22+G26</f>
        <v>19.815142646399998</v>
      </c>
      <c r="H27" s="14">
        <f>E14+F27+G27</f>
        <v>4760.6581426463999</v>
      </c>
      <c r="I27" s="124"/>
      <c r="J27" s="14">
        <f>J14+J18+J22+J26</f>
        <v>2140.6021535309255</v>
      </c>
      <c r="K27" s="42">
        <f>SUM(K14,K18,K22,K26)</f>
        <v>97.255326339474209</v>
      </c>
      <c r="L27" s="7">
        <f>L14+L18+L22+L26</f>
        <v>2265.8216627759998</v>
      </c>
      <c r="M27" s="7">
        <f>M14+M18+M22+M26</f>
        <v>4503.6791426463997</v>
      </c>
      <c r="N27" s="14"/>
    </row>
    <row r="28" spans="1:17" ht="16.5" customHeight="1">
      <c r="A28" s="23"/>
      <c r="B28" s="124"/>
      <c r="C28" s="124"/>
      <c r="D28" s="124"/>
      <c r="E28" s="43"/>
      <c r="F28" s="44"/>
      <c r="G28" s="7"/>
      <c r="H28" s="14"/>
      <c r="I28" s="124"/>
      <c r="J28" s="14"/>
      <c r="K28" s="42"/>
      <c r="L28" s="7"/>
      <c r="M28" s="7"/>
      <c r="N28" s="14"/>
    </row>
    <row r="29" spans="1:17" ht="16.5" customHeight="1">
      <c r="A29" s="55" t="s">
        <v>53</v>
      </c>
      <c r="B29" s="124"/>
      <c r="C29" s="124"/>
      <c r="D29" s="124"/>
      <c r="E29" s="43"/>
      <c r="F29" s="44"/>
      <c r="G29" s="7"/>
      <c r="H29" s="14"/>
      <c r="I29" s="124"/>
      <c r="J29" s="14"/>
      <c r="K29" s="42"/>
      <c r="L29" s="7"/>
      <c r="M29" s="7"/>
      <c r="N29" s="14"/>
    </row>
    <row r="30" spans="1:17" ht="16.5" customHeight="1">
      <c r="A30" s="23" t="s">
        <v>37</v>
      </c>
      <c r="B30" s="124"/>
      <c r="C30" s="124"/>
      <c r="D30" s="151"/>
      <c r="E30" s="43"/>
      <c r="F30" s="44"/>
      <c r="G30" s="7">
        <f>(24488.6*36.744)/1000000</f>
        <v>0.89980911839999989</v>
      </c>
      <c r="I30" s="124"/>
      <c r="J30" s="14">
        <f>((4924574*0.907185)*36.744)/1000000</f>
        <v>164.15380766099736</v>
      </c>
      <c r="K30" s="42"/>
      <c r="L30" s="7">
        <f>(2098690.6*36.744)/1000000</f>
        <v>77.11428740640001</v>
      </c>
      <c r="M30" s="7"/>
      <c r="N30" s="14"/>
      <c r="Q30" s="151"/>
    </row>
    <row r="31" spans="1:17" ht="16.5" customHeight="1">
      <c r="A31" s="23" t="s">
        <v>38</v>
      </c>
      <c r="B31" s="124"/>
      <c r="C31" s="124"/>
      <c r="D31" s="151"/>
      <c r="E31" s="43"/>
      <c r="F31" s="44"/>
      <c r="G31" s="7">
        <f>(19229.4*36.744)/1000000</f>
        <v>0.70656507359999998</v>
      </c>
      <c r="I31" s="124"/>
      <c r="J31" s="14">
        <f>((5908157*0.907185)*36.744)/1000000</f>
        <v>196.9401754972055</v>
      </c>
      <c r="K31" s="42"/>
      <c r="L31" s="7">
        <f>(10749625.7*36.744)/1000000</f>
        <v>394.9842467208</v>
      </c>
      <c r="M31" s="7"/>
      <c r="N31" s="14"/>
      <c r="Q31" s="151"/>
    </row>
    <row r="32" spans="1:17" ht="16.5" customHeight="1">
      <c r="A32" s="23" t="s">
        <v>39</v>
      </c>
      <c r="B32" s="124"/>
      <c r="C32" s="124"/>
      <c r="D32" s="151"/>
      <c r="E32" s="43"/>
      <c r="F32" s="44"/>
      <c r="G32" s="7">
        <f>(34894.1*36.744)/1000000</f>
        <v>1.2821488103999998</v>
      </c>
      <c r="I32" s="124"/>
      <c r="J32" s="14">
        <f>((5717943*0.907185)*36.744)/1000000</f>
        <v>190.59965703399854</v>
      </c>
      <c r="K32" s="42"/>
      <c r="L32" s="7">
        <f>(10581460.9*36.744)/1000000</f>
        <v>388.80519930959997</v>
      </c>
      <c r="M32" s="7"/>
      <c r="N32" s="14"/>
      <c r="Q32" s="151"/>
    </row>
    <row r="33" spans="1:73" ht="16.5" customHeight="1">
      <c r="A33" s="23" t="s">
        <v>40</v>
      </c>
      <c r="B33" s="124"/>
      <c r="C33" s="124"/>
      <c r="E33" s="43">
        <f>N26</f>
        <v>256.97899999999998</v>
      </c>
      <c r="F33" s="43">
        <v>4435.232</v>
      </c>
      <c r="G33" s="7">
        <f>SUM(G30:G32)</f>
        <v>2.8885230023999995</v>
      </c>
      <c r="H33" s="14">
        <f>SUM(E33:G33)</f>
        <v>4695.0995230024</v>
      </c>
      <c r="I33" s="124"/>
      <c r="J33" s="14">
        <f>SUM(J30:J32)</f>
        <v>551.69364019220143</v>
      </c>
      <c r="K33" s="42">
        <f>M33-L33-J33</f>
        <v>130.97814937339876</v>
      </c>
      <c r="L33" s="7">
        <f>SUM(L30:L32)</f>
        <v>860.90373343679994</v>
      </c>
      <c r="M33" s="7">
        <f>H33-N33</f>
        <v>1543.5755230024001</v>
      </c>
      <c r="N33" s="14">
        <v>3151.5239999999999</v>
      </c>
    </row>
    <row r="34" spans="1:73" ht="16.5" customHeight="1">
      <c r="A34" s="19" t="s">
        <v>41</v>
      </c>
      <c r="B34" s="124"/>
      <c r="C34" s="124"/>
      <c r="D34" s="151"/>
      <c r="E34" s="43"/>
      <c r="F34" s="43"/>
      <c r="G34" s="7">
        <f>(27884.8*36.744)/1000000</f>
        <v>1.0245990912</v>
      </c>
      <c r="H34" s="14"/>
      <c r="I34" s="124"/>
      <c r="J34" s="14">
        <f>((5947222*0.907185)*36.744)/1000000</f>
        <v>198.24235280153209</v>
      </c>
      <c r="K34" s="42"/>
      <c r="L34" s="7">
        <f>(7940701.7*36.744)/1000000</f>
        <v>291.77314326480001</v>
      </c>
      <c r="M34" s="7"/>
      <c r="N34" s="14"/>
      <c r="Q34" s="151"/>
    </row>
    <row r="35" spans="1:73" ht="16.5" customHeight="1">
      <c r="A35" s="19" t="s">
        <v>42</v>
      </c>
      <c r="B35" s="124"/>
      <c r="C35" s="124"/>
      <c r="D35" s="151"/>
      <c r="E35" s="43"/>
      <c r="F35" s="43"/>
      <c r="G35" s="7">
        <f>(23947.4*36.744)/1000000</f>
        <v>0.8799232656</v>
      </c>
      <c r="H35" s="14"/>
      <c r="I35" s="124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  <c r="Q35" s="151"/>
    </row>
    <row r="36" spans="1:73" ht="16.5" customHeight="1">
      <c r="A36" s="19" t="s">
        <v>43</v>
      </c>
      <c r="B36" s="124"/>
      <c r="C36" s="124"/>
      <c r="D36" s="151"/>
      <c r="E36" s="43"/>
      <c r="F36" s="43"/>
      <c r="G36" s="7">
        <f>(47248.7*36.744)/1000000</f>
        <v>1.7361062327999999</v>
      </c>
      <c r="H36" s="14"/>
      <c r="I36" s="124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  <c r="Q36" s="151"/>
    </row>
    <row r="37" spans="1:73" ht="16.5" customHeight="1">
      <c r="A37" s="19" t="s">
        <v>44</v>
      </c>
      <c r="B37" s="124"/>
      <c r="C37" s="124"/>
      <c r="E37" s="43">
        <f>N33</f>
        <v>3151.5239999999999</v>
      </c>
      <c r="F37" s="43"/>
      <c r="G37" s="7">
        <f>SUM(G34:G36)</f>
        <v>3.6406285895999999</v>
      </c>
      <c r="H37" s="14">
        <f>E37+F37+G37</f>
        <v>3155.1646285895999</v>
      </c>
      <c r="I37" s="124"/>
      <c r="J37" s="14">
        <f>SUM(J34:J36)</f>
        <v>566.95959823518035</v>
      </c>
      <c r="K37" s="42">
        <f>M37-L37-J37</f>
        <v>-9.0486397263805429</v>
      </c>
      <c r="L37" s="7">
        <f>SUM(L34:L36)</f>
        <v>665.95067008080002</v>
      </c>
      <c r="M37" s="7">
        <f>H37-N37</f>
        <v>1223.8616285895998</v>
      </c>
      <c r="N37" s="14">
        <v>1931.3030000000001</v>
      </c>
    </row>
    <row r="38" spans="1:73" ht="16.5" customHeight="1">
      <c r="A38" s="19" t="s">
        <v>45</v>
      </c>
      <c r="B38" s="124"/>
      <c r="C38" s="124"/>
      <c r="D38" s="151"/>
      <c r="E38" s="43"/>
      <c r="F38" s="43"/>
      <c r="G38" s="7">
        <f>(33665.9*36.744)/1000000</f>
        <v>1.2370198296000001</v>
      </c>
      <c r="H38" s="14"/>
      <c r="I38" s="124"/>
      <c r="J38" s="14">
        <f>((5786159*0.907185)*36.744)/1000000</f>
        <v>192.87354227633676</v>
      </c>
      <c r="K38" s="42"/>
      <c r="L38" s="7">
        <f>(3184420.8*36.744)/1000000</f>
        <v>117.00835787519999</v>
      </c>
      <c r="M38" s="7"/>
      <c r="N38" s="14"/>
      <c r="Q38" s="151"/>
    </row>
    <row r="39" spans="1:73" ht="16.5" customHeight="1">
      <c r="A39" s="19" t="s">
        <v>46</v>
      </c>
      <c r="B39" s="124"/>
      <c r="C39" s="124"/>
      <c r="D39" s="151"/>
      <c r="E39" s="43"/>
      <c r="F39" s="43"/>
      <c r="G39" s="7">
        <f>(49190.6*36.744)/1000000</f>
        <v>1.8074594064</v>
      </c>
      <c r="H39" s="14"/>
      <c r="I39" s="124"/>
      <c r="J39" s="14">
        <f>((5426712*0.907185)*36.744)/1000000</f>
        <v>180.89187772985568</v>
      </c>
      <c r="K39" s="42"/>
      <c r="L39" s="7">
        <f>(3657248.5*36.744)/1000000</f>
        <v>134.38193888399999</v>
      </c>
      <c r="M39" s="7"/>
      <c r="N39" s="14"/>
      <c r="Q39" s="151"/>
    </row>
    <row r="40" spans="1:73" ht="16.5" customHeight="1">
      <c r="A40" s="19" t="s">
        <v>47</v>
      </c>
      <c r="B40" s="124"/>
      <c r="C40" s="124"/>
      <c r="D40" s="151"/>
      <c r="E40" s="43"/>
      <c r="F40" s="43"/>
      <c r="G40" s="7">
        <f>(30553.6*36.744)/1000000</f>
        <v>1.1226614784</v>
      </c>
      <c r="H40" s="14"/>
      <c r="I40" s="124"/>
      <c r="J40" s="14">
        <f>((5427160*0.907185)*36.744)/1000000</f>
        <v>180.90681118518239</v>
      </c>
      <c r="K40" s="42"/>
      <c r="L40" s="7">
        <f>(2413962.6*36.744)/1000000</f>
        <v>88.698641774400002</v>
      </c>
      <c r="M40" s="7"/>
      <c r="N40" s="14"/>
      <c r="Q40" s="151"/>
    </row>
    <row r="41" spans="1:73" ht="16.5" customHeight="1">
      <c r="A41" s="19" t="s">
        <v>48</v>
      </c>
      <c r="B41" s="124"/>
      <c r="C41" s="124"/>
      <c r="E41" s="43">
        <f>N37</f>
        <v>1931.3030000000001</v>
      </c>
      <c r="F41" s="43"/>
      <c r="G41" s="7">
        <f>SUM(G38:G40)</f>
        <v>4.1671407144000003</v>
      </c>
      <c r="H41" s="14">
        <f>E41+F41+G41</f>
        <v>1935.4701407144</v>
      </c>
      <c r="I41" s="124"/>
      <c r="J41" s="14">
        <f>SUM(J38:J40)</f>
        <v>554.67223119137486</v>
      </c>
      <c r="K41" s="42">
        <f>M41-L41-J41</f>
        <v>69.268970989425156</v>
      </c>
      <c r="L41" s="7">
        <f>SUM(L38:L40)</f>
        <v>340.08893853360001</v>
      </c>
      <c r="M41" s="7">
        <f>H41-N41</f>
        <v>964.03014071439998</v>
      </c>
      <c r="N41" s="14">
        <v>971.44</v>
      </c>
    </row>
    <row r="42" spans="1:73" ht="16.5" customHeight="1">
      <c r="A42" s="19" t="s">
        <v>49</v>
      </c>
      <c r="B42" s="124"/>
      <c r="C42" s="124"/>
      <c r="D42"/>
      <c r="E42" s="43"/>
      <c r="F42" s="43"/>
      <c r="G42" s="7">
        <f>(21134.8*36.744)/1000000</f>
        <v>0.77657709120000007</v>
      </c>
      <c r="H42" s="14"/>
      <c r="I42" s="124"/>
      <c r="J42" s="14">
        <f>((5222412*0.907185)*36.744)/1000000</f>
        <v>174.08182209760369</v>
      </c>
      <c r="K42" s="42"/>
      <c r="L42" s="7">
        <f>(2271040.2*36.744)/1000000</f>
        <v>83.447101108800013</v>
      </c>
      <c r="M42" s="7"/>
      <c r="N42" s="14"/>
      <c r="Q42"/>
    </row>
    <row r="43" spans="1:73" ht="16.5" customHeight="1">
      <c r="A43" s="23" t="s">
        <v>28</v>
      </c>
      <c r="B43" s="124"/>
      <c r="C43" s="124"/>
      <c r="D43" s="124"/>
      <c r="E43" s="43"/>
      <c r="F43" s="43"/>
      <c r="G43" s="7">
        <f>SUM(G33,G37,G41,G42)</f>
        <v>11.4728693976</v>
      </c>
      <c r="H43" s="14"/>
      <c r="I43" s="124"/>
      <c r="J43" s="14">
        <f>SUM(J33,J37,J41,J42)</f>
        <v>1847.4072917163605</v>
      </c>
      <c r="K43" s="42"/>
      <c r="L43" s="7">
        <f>SUM(L33,L37,L41,L42)</f>
        <v>1950.3904431600001</v>
      </c>
      <c r="M43" s="7"/>
      <c r="N43" s="14"/>
    </row>
    <row r="44" spans="1:73" ht="16.5" customHeight="1">
      <c r="A44" s="117" t="s">
        <v>54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118"/>
      <c r="M44" s="96"/>
      <c r="N44" s="96"/>
    </row>
    <row r="45" spans="1:73" ht="16.5" customHeight="1">
      <c r="A45" s="19" t="s">
        <v>200</v>
      </c>
      <c r="B45" s="19"/>
      <c r="C45" s="19"/>
      <c r="D45" s="1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73" ht="16.5" customHeight="1">
      <c r="A46" s="25" t="s">
        <v>55</v>
      </c>
      <c r="B46" s="50">
        <f ca="1">NOW()</f>
        <v>44789.312603472223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25"/>
      <c r="P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</row>
    <row r="47" spans="1:73">
      <c r="O47" s="125"/>
      <c r="P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</row>
    <row r="48" spans="1:73">
      <c r="O48" s="125"/>
      <c r="P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</row>
    <row r="49" spans="6:73">
      <c r="O49" s="125"/>
      <c r="P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</row>
    <row r="50" spans="6:73">
      <c r="F50" s="51"/>
      <c r="O50" s="125"/>
      <c r="P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</row>
    <row r="51" spans="6:73">
      <c r="O51" s="125"/>
      <c r="P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</row>
    <row r="52" spans="6:73">
      <c r="O52" s="125"/>
      <c r="P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</row>
    <row r="53" spans="6:73">
      <c r="O53" s="125"/>
      <c r="P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</row>
    <row r="54" spans="6:73">
      <c r="O54" s="125"/>
      <c r="P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</row>
    <row r="55" spans="6:73">
      <c r="O55" s="125"/>
      <c r="P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</row>
    <row r="56" spans="6:73">
      <c r="O56" s="125"/>
      <c r="P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</row>
    <row r="57" spans="6:73">
      <c r="O57" s="125"/>
      <c r="P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</row>
    <row r="58" spans="6:73">
      <c r="O58" s="125"/>
      <c r="P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</row>
    <row r="59" spans="6:73">
      <c r="O59" s="125"/>
      <c r="P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</row>
    <row r="60" spans="6:73">
      <c r="O60" s="125"/>
      <c r="P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</row>
    <row r="61" spans="6:73">
      <c r="O61" s="125"/>
      <c r="P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</row>
    <row r="62" spans="6:73">
      <c r="O62" s="125"/>
      <c r="P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</row>
    <row r="63" spans="6:73">
      <c r="O63" s="125"/>
      <c r="P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</row>
    <row r="64" spans="6:73">
      <c r="O64" s="125"/>
      <c r="P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</row>
    <row r="65" spans="15:73">
      <c r="O65" s="125"/>
      <c r="P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</row>
    <row r="66" spans="15:73">
      <c r="O66" s="125"/>
      <c r="P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</row>
    <row r="67" spans="15:73">
      <c r="O67" s="125"/>
      <c r="P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</row>
    <row r="68" spans="15:73">
      <c r="O68" s="125"/>
      <c r="P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</row>
    <row r="69" spans="15:73">
      <c r="O69" s="125"/>
      <c r="P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</row>
    <row r="70" spans="15:73">
      <c r="O70" s="125"/>
      <c r="P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5"/>
      <c r="BR70" s="125"/>
      <c r="BS70" s="125"/>
      <c r="BT70" s="125"/>
      <c r="BU70" s="125"/>
    </row>
    <row r="71" spans="15:73">
      <c r="O71" s="125"/>
      <c r="P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25"/>
      <c r="BS71" s="125"/>
      <c r="BT71" s="125"/>
      <c r="BU71" s="125"/>
    </row>
    <row r="72" spans="15:73">
      <c r="O72" s="125"/>
      <c r="P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5"/>
    </row>
    <row r="73" spans="15:73">
      <c r="O73" s="125"/>
      <c r="P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</row>
    <row r="74" spans="15:73"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</row>
    <row r="75" spans="15:73"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</row>
    <row r="76" spans="15:73"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</row>
    <row r="77" spans="15:73"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</row>
    <row r="78" spans="15:73"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</row>
    <row r="79" spans="15:73"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</row>
    <row r="80" spans="15:73"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</row>
    <row r="81" spans="15:73"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</row>
    <row r="82" spans="15:73"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</row>
    <row r="83" spans="15:73"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</row>
    <row r="84" spans="15:73"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</row>
    <row r="85" spans="15:73"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</row>
    <row r="86" spans="15:73"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</row>
    <row r="87" spans="15:73"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</row>
    <row r="88" spans="15:73"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</row>
    <row r="89" spans="15:73"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</row>
    <row r="90" spans="15:73"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</row>
    <row r="91" spans="15:73"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</row>
    <row r="92" spans="15:73"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</row>
    <row r="93" spans="15:73"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</row>
    <row r="94" spans="15:73"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</row>
    <row r="95" spans="15:73"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</row>
    <row r="96" spans="15:73"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</row>
    <row r="97" spans="15:73"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5"/>
      <c r="BO97" s="125"/>
      <c r="BP97" s="125"/>
      <c r="BQ97" s="125"/>
      <c r="BR97" s="125"/>
      <c r="BS97" s="125"/>
      <c r="BT97" s="125"/>
      <c r="BU97" s="125"/>
    </row>
    <row r="98" spans="15:73"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5"/>
      <c r="BO98" s="125"/>
      <c r="BP98" s="125"/>
      <c r="BQ98" s="125"/>
      <c r="BR98" s="125"/>
      <c r="BS98" s="125"/>
      <c r="BT98" s="125"/>
      <c r="BU98" s="125"/>
    </row>
    <row r="99" spans="15:73"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</row>
    <row r="100" spans="15:73"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</row>
    <row r="101" spans="15:73"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  <c r="BT101" s="125"/>
      <c r="BU101" s="125"/>
    </row>
    <row r="102" spans="15:73"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5"/>
      <c r="BT102" s="125"/>
      <c r="BU102" s="125"/>
    </row>
    <row r="103" spans="15:73"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5"/>
      <c r="BT103" s="125"/>
      <c r="BU103" s="125"/>
    </row>
    <row r="104" spans="15:73"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5"/>
      <c r="BT104" s="125"/>
      <c r="BU104" s="125"/>
    </row>
    <row r="105" spans="15:73"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</row>
    <row r="106" spans="15:73"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5"/>
      <c r="BO106" s="125"/>
      <c r="BP106" s="125"/>
      <c r="BQ106" s="125"/>
      <c r="BR106" s="125"/>
      <c r="BS106" s="125"/>
      <c r="BT106" s="125"/>
      <c r="BU106" s="125"/>
    </row>
    <row r="107" spans="15:73"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  <c r="BR107" s="125"/>
      <c r="BS107" s="125"/>
      <c r="BT107" s="125"/>
      <c r="BU107" s="125"/>
    </row>
    <row r="108" spans="15:73"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</row>
    <row r="109" spans="15:73"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</row>
    <row r="110" spans="15:73"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</row>
    <row r="111" spans="15:73"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</row>
    <row r="112" spans="15:73"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</row>
    <row r="113" spans="15:73"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</row>
    <row r="114" spans="15:73"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</row>
    <row r="115" spans="15:73"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</row>
    <row r="116" spans="15:73"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</row>
    <row r="117" spans="15:73"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</row>
    <row r="118" spans="15:73"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</row>
    <row r="119" spans="15:73"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</row>
    <row r="120" spans="15:73"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</row>
    <row r="121" spans="15:73"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</row>
    <row r="122" spans="15:73"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</row>
    <row r="123" spans="15:73"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5"/>
      <c r="BQ123" s="125"/>
      <c r="BR123" s="125"/>
      <c r="BS123" s="125"/>
      <c r="BT123" s="125"/>
      <c r="BU123" s="125"/>
    </row>
    <row r="124" spans="15:73"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</row>
    <row r="125" spans="15:73"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125"/>
      <c r="BQ125" s="125"/>
      <c r="BR125" s="125"/>
      <c r="BS125" s="125"/>
      <c r="BT125" s="125"/>
      <c r="BU125" s="125"/>
    </row>
    <row r="126" spans="15:73"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</row>
    <row r="127" spans="15:73"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</row>
    <row r="128" spans="15:73"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  <c r="BR128" s="125"/>
      <c r="BS128" s="125"/>
      <c r="BT128" s="125"/>
      <c r="BU128" s="125"/>
    </row>
    <row r="129" spans="15:73"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  <c r="BT129" s="125"/>
      <c r="BU129" s="125"/>
    </row>
    <row r="130" spans="15:73"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5"/>
      <c r="BQ130" s="125"/>
      <c r="BR130" s="125"/>
      <c r="BS130" s="125"/>
      <c r="BT130" s="125"/>
      <c r="BU130" s="125"/>
    </row>
    <row r="131" spans="15:73"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5"/>
      <c r="BQ131" s="125"/>
      <c r="BR131" s="125"/>
      <c r="BS131" s="125"/>
      <c r="BT131" s="125"/>
      <c r="BU131" s="125"/>
    </row>
    <row r="132" spans="15:73"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  <c r="BR132" s="125"/>
      <c r="BS132" s="125"/>
      <c r="BT132" s="125"/>
      <c r="BU132" s="125"/>
    </row>
    <row r="133" spans="15:73"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</row>
    <row r="134" spans="15:73"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</row>
    <row r="135" spans="15:73"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</row>
    <row r="136" spans="15:73"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</row>
    <row r="137" spans="15:73"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  <c r="BR137" s="125"/>
      <c r="BS137" s="125"/>
      <c r="BT137" s="125"/>
      <c r="BU137" s="125"/>
    </row>
    <row r="138" spans="15:73"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5"/>
      <c r="BQ138" s="125"/>
      <c r="BR138" s="125"/>
      <c r="BS138" s="125"/>
      <c r="BT138" s="125"/>
      <c r="BU138" s="125"/>
    </row>
    <row r="139" spans="15:73"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5"/>
      <c r="BQ139" s="125"/>
      <c r="BR139" s="125"/>
      <c r="BS139" s="125"/>
      <c r="BT139" s="125"/>
      <c r="BU139" s="125"/>
    </row>
    <row r="140" spans="15:73"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  <c r="BS140" s="125"/>
      <c r="BT140" s="125"/>
      <c r="BU140" s="125"/>
    </row>
    <row r="141" spans="15:73"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5"/>
      <c r="BQ141" s="125"/>
      <c r="BR141" s="125"/>
      <c r="BS141" s="125"/>
      <c r="BT141" s="125"/>
      <c r="BU141" s="125"/>
    </row>
    <row r="142" spans="15:73"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  <c r="BR142" s="125"/>
      <c r="BS142" s="125"/>
      <c r="BT142" s="125"/>
      <c r="BU142" s="125"/>
    </row>
    <row r="143" spans="15:73"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5"/>
      <c r="BQ143" s="125"/>
      <c r="BR143" s="125"/>
      <c r="BS143" s="125"/>
      <c r="BT143" s="125"/>
      <c r="BU143" s="125"/>
    </row>
    <row r="144" spans="15:73"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  <c r="BO144" s="125"/>
      <c r="BP144" s="125"/>
      <c r="BQ144" s="125"/>
      <c r="BR144" s="125"/>
      <c r="BS144" s="125"/>
      <c r="BT144" s="125"/>
      <c r="BU144" s="125"/>
    </row>
    <row r="145" spans="15:73"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5"/>
      <c r="BO145" s="125"/>
      <c r="BP145" s="125"/>
      <c r="BQ145" s="125"/>
      <c r="BR145" s="125"/>
      <c r="BS145" s="125"/>
      <c r="BT145" s="125"/>
      <c r="BU145" s="125"/>
    </row>
    <row r="146" spans="15:73"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  <c r="BO146" s="125"/>
      <c r="BP146" s="125"/>
      <c r="BQ146" s="125"/>
      <c r="BR146" s="125"/>
      <c r="BS146" s="125"/>
      <c r="BT146" s="125"/>
      <c r="BU146" s="125"/>
    </row>
    <row r="147" spans="15:73"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  <c r="BO147" s="125"/>
      <c r="BP147" s="125"/>
      <c r="BQ147" s="125"/>
      <c r="BR147" s="125"/>
      <c r="BS147" s="125"/>
      <c r="BT147" s="125"/>
      <c r="BU147" s="125"/>
    </row>
    <row r="148" spans="15:73"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5"/>
      <c r="BO148" s="125"/>
      <c r="BP148" s="125"/>
      <c r="BQ148" s="125"/>
      <c r="BR148" s="125"/>
      <c r="BS148" s="125"/>
      <c r="BT148" s="125"/>
      <c r="BU148" s="125"/>
    </row>
    <row r="149" spans="15:73"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5"/>
      <c r="BO149" s="125"/>
      <c r="BP149" s="125"/>
      <c r="BQ149" s="125"/>
      <c r="BR149" s="125"/>
      <c r="BS149" s="125"/>
      <c r="BT149" s="125"/>
      <c r="BU149" s="125"/>
    </row>
    <row r="150" spans="15:73"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125"/>
      <c r="BR150" s="125"/>
      <c r="BS150" s="125"/>
      <c r="BT150" s="125"/>
      <c r="BU150" s="125"/>
    </row>
    <row r="151" spans="15:73"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25"/>
      <c r="BQ151" s="125"/>
      <c r="BR151" s="125"/>
      <c r="BS151" s="125"/>
      <c r="BT151" s="125"/>
      <c r="BU151" s="125"/>
    </row>
    <row r="152" spans="15:73"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5"/>
      <c r="BO152" s="125"/>
      <c r="BP152" s="125"/>
      <c r="BQ152" s="125"/>
      <c r="BR152" s="125"/>
      <c r="BS152" s="125"/>
      <c r="BT152" s="125"/>
      <c r="BU152" s="125"/>
    </row>
    <row r="153" spans="15:73"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  <c r="BO153" s="125"/>
      <c r="BP153" s="125"/>
      <c r="BQ153" s="125"/>
      <c r="BR153" s="125"/>
      <c r="BS153" s="125"/>
      <c r="BT153" s="125"/>
      <c r="BU153" s="125"/>
    </row>
    <row r="154" spans="15:73"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5"/>
      <c r="BO154" s="125"/>
      <c r="BP154" s="125"/>
      <c r="BQ154" s="125"/>
      <c r="BR154" s="125"/>
      <c r="BS154" s="125"/>
      <c r="BT154" s="125"/>
      <c r="BU154" s="125"/>
    </row>
    <row r="155" spans="15:73"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5"/>
      <c r="BO155" s="125"/>
      <c r="BP155" s="125"/>
      <c r="BQ155" s="125"/>
      <c r="BR155" s="125"/>
      <c r="BS155" s="125"/>
      <c r="BT155" s="125"/>
      <c r="BU155" s="125"/>
    </row>
    <row r="156" spans="15:73"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  <c r="BO156" s="125"/>
      <c r="BP156" s="125"/>
      <c r="BQ156" s="125"/>
      <c r="BR156" s="125"/>
      <c r="BS156" s="125"/>
      <c r="BT156" s="125"/>
      <c r="BU156" s="125"/>
    </row>
    <row r="157" spans="15:73"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5"/>
      <c r="BO157" s="125"/>
      <c r="BP157" s="125"/>
      <c r="BQ157" s="125"/>
      <c r="BR157" s="125"/>
      <c r="BS157" s="125"/>
      <c r="BT157" s="125"/>
      <c r="BU157" s="125"/>
    </row>
    <row r="158" spans="15:73"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5"/>
      <c r="BO158" s="125"/>
      <c r="BP158" s="125"/>
      <c r="BQ158" s="125"/>
      <c r="BR158" s="125"/>
      <c r="BS158" s="125"/>
      <c r="BT158" s="125"/>
      <c r="BU158" s="125"/>
    </row>
    <row r="159" spans="15:73"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5"/>
      <c r="BO159" s="125"/>
      <c r="BP159" s="125"/>
      <c r="BQ159" s="125"/>
      <c r="BR159" s="125"/>
      <c r="BS159" s="125"/>
      <c r="BT159" s="125"/>
      <c r="BU159" s="125"/>
    </row>
    <row r="160" spans="15:73"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5"/>
      <c r="BO160" s="125"/>
      <c r="BP160" s="125"/>
      <c r="BQ160" s="125"/>
      <c r="BR160" s="125"/>
      <c r="BS160" s="125"/>
      <c r="BT160" s="125"/>
      <c r="BU160" s="125"/>
    </row>
    <row r="161" spans="15:73"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5"/>
      <c r="BO161" s="125"/>
      <c r="BP161" s="125"/>
      <c r="BQ161" s="125"/>
      <c r="BR161" s="125"/>
      <c r="BS161" s="125"/>
      <c r="BT161" s="125"/>
      <c r="BU161" s="125"/>
    </row>
    <row r="162" spans="15:73"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  <c r="BO162" s="125"/>
      <c r="BP162" s="125"/>
      <c r="BQ162" s="125"/>
      <c r="BR162" s="125"/>
      <c r="BS162" s="125"/>
      <c r="BT162" s="125"/>
      <c r="BU162" s="125"/>
    </row>
    <row r="163" spans="15:73"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5"/>
      <c r="BO163" s="125"/>
      <c r="BP163" s="125"/>
      <c r="BQ163" s="125"/>
      <c r="BR163" s="125"/>
      <c r="BS163" s="125"/>
      <c r="BT163" s="125"/>
      <c r="BU163" s="125"/>
    </row>
    <row r="164" spans="15:73"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5"/>
      <c r="BO164" s="125"/>
      <c r="BP164" s="125"/>
      <c r="BQ164" s="125"/>
      <c r="BR164" s="125"/>
      <c r="BS164" s="125"/>
      <c r="BT164" s="125"/>
      <c r="BU164" s="125"/>
    </row>
    <row r="165" spans="15:73"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  <c r="BR165" s="125"/>
      <c r="BS165" s="125"/>
      <c r="BT165" s="125"/>
      <c r="BU165" s="125"/>
    </row>
    <row r="166" spans="15:73"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5"/>
      <c r="BO166" s="125"/>
      <c r="BP166" s="125"/>
      <c r="BQ166" s="125"/>
      <c r="BR166" s="125"/>
      <c r="BS166" s="125"/>
      <c r="BT166" s="125"/>
      <c r="BU166" s="125"/>
    </row>
    <row r="167" spans="15:73"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5"/>
      <c r="BO167" s="125"/>
      <c r="BP167" s="125"/>
      <c r="BQ167" s="125"/>
      <c r="BR167" s="125"/>
      <c r="BS167" s="125"/>
      <c r="BT167" s="125"/>
      <c r="BU167" s="125"/>
    </row>
    <row r="168" spans="15:73"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5"/>
      <c r="BQ168" s="125"/>
      <c r="BR168" s="125"/>
      <c r="BS168" s="125"/>
      <c r="BT168" s="125"/>
      <c r="BU168" s="125"/>
    </row>
    <row r="169" spans="15:73"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5"/>
      <c r="BQ169" s="125"/>
      <c r="BR169" s="125"/>
      <c r="BS169" s="125"/>
      <c r="BT169" s="125"/>
      <c r="BU169" s="125"/>
    </row>
    <row r="170" spans="15:73"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5"/>
      <c r="BO170" s="125"/>
      <c r="BP170" s="125"/>
      <c r="BQ170" s="125"/>
      <c r="BR170" s="125"/>
      <c r="BS170" s="125"/>
      <c r="BT170" s="125"/>
      <c r="BU170" s="125"/>
    </row>
    <row r="171" spans="15:73"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</row>
    <row r="172" spans="15:73"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5"/>
      <c r="BO172" s="125"/>
      <c r="BP172" s="125"/>
      <c r="BQ172" s="125"/>
      <c r="BR172" s="125"/>
      <c r="BS172" s="125"/>
      <c r="BT172" s="125"/>
      <c r="BU172" s="125"/>
    </row>
    <row r="173" spans="15:73"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5"/>
      <c r="BO173" s="125"/>
      <c r="BP173" s="125"/>
      <c r="BQ173" s="125"/>
      <c r="BR173" s="125"/>
      <c r="BS173" s="125"/>
      <c r="BT173" s="125"/>
      <c r="BU173" s="125"/>
    </row>
    <row r="174" spans="15:73"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5"/>
      <c r="BO174" s="125"/>
      <c r="BP174" s="125"/>
      <c r="BQ174" s="125"/>
      <c r="BR174" s="125"/>
      <c r="BS174" s="125"/>
      <c r="BT174" s="125"/>
      <c r="BU174" s="125"/>
    </row>
    <row r="175" spans="15:73"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5"/>
      <c r="BO175" s="125"/>
      <c r="BP175" s="125"/>
      <c r="BQ175" s="125"/>
      <c r="BR175" s="125"/>
      <c r="BS175" s="125"/>
      <c r="BT175" s="125"/>
      <c r="BU175" s="125"/>
    </row>
    <row r="176" spans="15:73"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  <c r="BO176" s="125"/>
      <c r="BP176" s="125"/>
      <c r="BQ176" s="125"/>
      <c r="BR176" s="125"/>
      <c r="BS176" s="125"/>
      <c r="BT176" s="125"/>
      <c r="BU176" s="125"/>
    </row>
    <row r="177" spans="15:73"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5"/>
      <c r="BO177" s="125"/>
      <c r="BP177" s="125"/>
      <c r="BQ177" s="125"/>
      <c r="BR177" s="125"/>
      <c r="BS177" s="125"/>
      <c r="BT177" s="125"/>
      <c r="BU177" s="125"/>
    </row>
    <row r="178" spans="15:73"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5"/>
      <c r="BO178" s="125"/>
      <c r="BP178" s="125"/>
      <c r="BQ178" s="125"/>
      <c r="BR178" s="125"/>
      <c r="BS178" s="125"/>
      <c r="BT178" s="125"/>
      <c r="BU178" s="125"/>
    </row>
    <row r="179" spans="15:73"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5"/>
      <c r="BO179" s="125"/>
      <c r="BP179" s="125"/>
      <c r="BQ179" s="125"/>
      <c r="BR179" s="125"/>
      <c r="BS179" s="125"/>
      <c r="BT179" s="125"/>
      <c r="BU179" s="125"/>
    </row>
    <row r="180" spans="15:73"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5"/>
      <c r="BO180" s="125"/>
      <c r="BP180" s="125"/>
      <c r="BQ180" s="125"/>
      <c r="BR180" s="125"/>
      <c r="BS180" s="125"/>
      <c r="BT180" s="125"/>
      <c r="BU180" s="125"/>
    </row>
    <row r="181" spans="15:73"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5"/>
      <c r="BO181" s="125"/>
      <c r="BP181" s="125"/>
      <c r="BQ181" s="125"/>
      <c r="BR181" s="125"/>
      <c r="BS181" s="125"/>
      <c r="BT181" s="125"/>
      <c r="BU181" s="125"/>
    </row>
    <row r="182" spans="15:73"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  <c r="BO182" s="125"/>
      <c r="BP182" s="125"/>
      <c r="BQ182" s="125"/>
      <c r="BR182" s="125"/>
      <c r="BS182" s="125"/>
      <c r="BT182" s="125"/>
      <c r="BU182" s="125"/>
    </row>
    <row r="183" spans="15:73"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5"/>
      <c r="BP183" s="125"/>
      <c r="BQ183" s="125"/>
      <c r="BR183" s="125"/>
      <c r="BS183" s="125"/>
      <c r="BT183" s="125"/>
      <c r="BU183" s="125"/>
    </row>
    <row r="184" spans="15:73"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  <c r="BO184" s="125"/>
      <c r="BP184" s="125"/>
      <c r="BQ184" s="125"/>
      <c r="BR184" s="125"/>
      <c r="BS184" s="125"/>
      <c r="BT184" s="125"/>
      <c r="BU184" s="125"/>
    </row>
    <row r="185" spans="15:73"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5"/>
      <c r="BO185" s="125"/>
      <c r="BP185" s="125"/>
      <c r="BQ185" s="125"/>
      <c r="BR185" s="125"/>
      <c r="BS185" s="125"/>
      <c r="BT185" s="125"/>
      <c r="BU185" s="125"/>
    </row>
    <row r="186" spans="15:73"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5"/>
      <c r="BO186" s="125"/>
      <c r="BP186" s="125"/>
      <c r="BQ186" s="125"/>
      <c r="BR186" s="125"/>
      <c r="BS186" s="125"/>
      <c r="BT186" s="125"/>
      <c r="BU186" s="125"/>
    </row>
    <row r="187" spans="15:73"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5"/>
      <c r="BO187" s="125"/>
      <c r="BP187" s="125"/>
      <c r="BQ187" s="125"/>
      <c r="BR187" s="125"/>
      <c r="BS187" s="125"/>
      <c r="BT187" s="125"/>
      <c r="BU187" s="125"/>
    </row>
    <row r="188" spans="15:73"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5"/>
      <c r="BO188" s="125"/>
      <c r="BP188" s="125"/>
      <c r="BQ188" s="125"/>
      <c r="BR188" s="125"/>
      <c r="BS188" s="125"/>
      <c r="BT188" s="125"/>
      <c r="BU188" s="125"/>
    </row>
    <row r="189" spans="15:73"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5"/>
      <c r="BO189" s="125"/>
      <c r="BP189" s="125"/>
      <c r="BQ189" s="125"/>
      <c r="BR189" s="125"/>
      <c r="BS189" s="125"/>
      <c r="BT189" s="125"/>
      <c r="BU189" s="125"/>
    </row>
    <row r="190" spans="15:73"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  <c r="BO190" s="125"/>
      <c r="BP190" s="125"/>
      <c r="BQ190" s="125"/>
      <c r="BR190" s="125"/>
      <c r="BS190" s="125"/>
      <c r="BT190" s="125"/>
      <c r="BU190" s="125"/>
    </row>
    <row r="191" spans="15:73"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  <c r="BM191" s="125"/>
      <c r="BN191" s="125"/>
      <c r="BO191" s="125"/>
      <c r="BP191" s="125"/>
      <c r="BQ191" s="125"/>
      <c r="BR191" s="125"/>
      <c r="BS191" s="125"/>
      <c r="BT191" s="125"/>
      <c r="BU191" s="125"/>
    </row>
    <row r="192" spans="15:73"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5"/>
      <c r="BO192" s="125"/>
      <c r="BP192" s="125"/>
      <c r="BQ192" s="125"/>
      <c r="BR192" s="125"/>
      <c r="BS192" s="125"/>
      <c r="BT192" s="125"/>
      <c r="BU192" s="125"/>
    </row>
    <row r="193" spans="15:73"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  <c r="BM193" s="125"/>
      <c r="BN193" s="125"/>
      <c r="BO193" s="125"/>
      <c r="BP193" s="125"/>
      <c r="BQ193" s="125"/>
      <c r="BR193" s="125"/>
      <c r="BS193" s="125"/>
      <c r="BT193" s="125"/>
      <c r="BU193" s="125"/>
    </row>
    <row r="194" spans="15:73"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  <c r="BM194" s="125"/>
      <c r="BN194" s="125"/>
      <c r="BO194" s="125"/>
      <c r="BP194" s="125"/>
      <c r="BQ194" s="125"/>
      <c r="BR194" s="125"/>
      <c r="BS194" s="125"/>
      <c r="BT194" s="125"/>
      <c r="BU194" s="125"/>
    </row>
    <row r="195" spans="15:73"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  <c r="BM195" s="125"/>
      <c r="BN195" s="125"/>
      <c r="BO195" s="125"/>
      <c r="BP195" s="125"/>
      <c r="BQ195" s="125"/>
      <c r="BR195" s="125"/>
      <c r="BS195" s="125"/>
      <c r="BT195" s="125"/>
      <c r="BU195" s="125"/>
    </row>
    <row r="196" spans="15:73"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5"/>
      <c r="BM196" s="125"/>
      <c r="BN196" s="125"/>
      <c r="BO196" s="125"/>
      <c r="BP196" s="125"/>
      <c r="BQ196" s="125"/>
      <c r="BR196" s="125"/>
      <c r="BS196" s="125"/>
      <c r="BT196" s="125"/>
      <c r="BU196" s="125"/>
    </row>
    <row r="197" spans="15:73"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5"/>
      <c r="BM197" s="125"/>
      <c r="BN197" s="125"/>
      <c r="BO197" s="125"/>
      <c r="BP197" s="125"/>
      <c r="BQ197" s="125"/>
      <c r="BR197" s="125"/>
      <c r="BS197" s="125"/>
      <c r="BT197" s="125"/>
      <c r="BU197" s="125"/>
    </row>
    <row r="198" spans="15:73"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5"/>
      <c r="BM198" s="125"/>
      <c r="BN198" s="125"/>
      <c r="BO198" s="125"/>
      <c r="BP198" s="125"/>
      <c r="BQ198" s="125"/>
      <c r="BR198" s="125"/>
      <c r="BS198" s="125"/>
      <c r="BT198" s="125"/>
      <c r="BU198" s="125"/>
    </row>
    <row r="199" spans="15:73"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5"/>
      <c r="BM199" s="125"/>
      <c r="BN199" s="125"/>
      <c r="BO199" s="125"/>
      <c r="BP199" s="125"/>
      <c r="BQ199" s="125"/>
      <c r="BR199" s="125"/>
      <c r="BS199" s="125"/>
      <c r="BT199" s="125"/>
      <c r="BU199" s="125"/>
    </row>
    <row r="200" spans="15:73"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  <c r="BM200" s="125"/>
      <c r="BN200" s="125"/>
      <c r="BO200" s="125"/>
      <c r="BP200" s="125"/>
      <c r="BQ200" s="125"/>
      <c r="BR200" s="125"/>
      <c r="BS200" s="125"/>
      <c r="BT200" s="125"/>
      <c r="BU200" s="125"/>
    </row>
    <row r="201" spans="15:73"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  <c r="BM201" s="125"/>
      <c r="BN201" s="125"/>
      <c r="BO201" s="125"/>
      <c r="BP201" s="125"/>
      <c r="BQ201" s="125"/>
      <c r="BR201" s="125"/>
      <c r="BS201" s="125"/>
      <c r="BT201" s="125"/>
      <c r="BU201" s="125"/>
    </row>
    <row r="202" spans="15:73"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5"/>
      <c r="BO202" s="125"/>
      <c r="BP202" s="125"/>
      <c r="BQ202" s="125"/>
      <c r="BR202" s="125"/>
      <c r="BS202" s="125"/>
      <c r="BT202" s="125"/>
      <c r="BU202" s="125"/>
    </row>
    <row r="203" spans="15:73"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125"/>
      <c r="BN203" s="125"/>
      <c r="BO203" s="125"/>
      <c r="BP203" s="125"/>
      <c r="BQ203" s="125"/>
      <c r="BR203" s="125"/>
      <c r="BS203" s="125"/>
      <c r="BT203" s="125"/>
      <c r="BU203" s="125"/>
    </row>
    <row r="204" spans="15:73"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  <c r="BM204" s="125"/>
      <c r="BN204" s="125"/>
      <c r="BO204" s="125"/>
      <c r="BP204" s="125"/>
      <c r="BQ204" s="125"/>
      <c r="BR204" s="125"/>
      <c r="BS204" s="125"/>
      <c r="BT204" s="125"/>
      <c r="BU204" s="125"/>
    </row>
    <row r="205" spans="15:73"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BM205" s="125"/>
      <c r="BN205" s="125"/>
      <c r="BO205" s="125"/>
      <c r="BP205" s="125"/>
      <c r="BQ205" s="125"/>
      <c r="BR205" s="125"/>
      <c r="BS205" s="125"/>
      <c r="BT205" s="125"/>
      <c r="BU205" s="125"/>
    </row>
    <row r="206" spans="15:73"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  <c r="BM206" s="125"/>
      <c r="BN206" s="125"/>
      <c r="BO206" s="125"/>
      <c r="BP206" s="125"/>
      <c r="BQ206" s="125"/>
      <c r="BR206" s="125"/>
      <c r="BS206" s="125"/>
      <c r="BT206" s="125"/>
      <c r="BU206" s="125"/>
    </row>
    <row r="207" spans="15:73"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  <c r="BM207" s="125"/>
      <c r="BN207" s="125"/>
      <c r="BO207" s="125"/>
      <c r="BP207" s="125"/>
      <c r="BQ207" s="125"/>
      <c r="BR207" s="125"/>
      <c r="BS207" s="125"/>
      <c r="BT207" s="125"/>
      <c r="BU207" s="125"/>
    </row>
    <row r="208" spans="15:73"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125"/>
      <c r="BN208" s="125"/>
      <c r="BO208" s="125"/>
      <c r="BP208" s="125"/>
      <c r="BQ208" s="125"/>
      <c r="BR208" s="125"/>
      <c r="BS208" s="125"/>
      <c r="BT208" s="125"/>
      <c r="BU208" s="125"/>
    </row>
    <row r="209" spans="15:73"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5"/>
      <c r="BM209" s="125"/>
      <c r="BN209" s="125"/>
      <c r="BO209" s="125"/>
      <c r="BP209" s="125"/>
      <c r="BQ209" s="125"/>
      <c r="BR209" s="125"/>
      <c r="BS209" s="125"/>
      <c r="BT209" s="125"/>
      <c r="BU209" s="125"/>
    </row>
    <row r="210" spans="15:73"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5"/>
      <c r="BM210" s="125"/>
      <c r="BN210" s="125"/>
      <c r="BO210" s="125"/>
      <c r="BP210" s="125"/>
      <c r="BQ210" s="125"/>
      <c r="BR210" s="125"/>
      <c r="BS210" s="125"/>
      <c r="BT210" s="125"/>
      <c r="BU210" s="125"/>
    </row>
    <row r="211" spans="15:73"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  <c r="BM211" s="125"/>
      <c r="BN211" s="125"/>
      <c r="BO211" s="125"/>
      <c r="BP211" s="125"/>
      <c r="BQ211" s="125"/>
      <c r="BR211" s="125"/>
      <c r="BS211" s="125"/>
      <c r="BT211" s="125"/>
      <c r="BU211" s="125"/>
    </row>
    <row r="212" spans="15:73"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  <c r="BM212" s="125"/>
      <c r="BN212" s="125"/>
      <c r="BO212" s="125"/>
      <c r="BP212" s="125"/>
      <c r="BQ212" s="125"/>
      <c r="BR212" s="125"/>
      <c r="BS212" s="125"/>
      <c r="BT212" s="125"/>
      <c r="BU212" s="125"/>
    </row>
    <row r="213" spans="15:73"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  <c r="BM213" s="125"/>
      <c r="BN213" s="125"/>
      <c r="BO213" s="125"/>
      <c r="BP213" s="125"/>
      <c r="BQ213" s="125"/>
      <c r="BR213" s="125"/>
      <c r="BS213" s="125"/>
      <c r="BT213" s="125"/>
      <c r="BU213" s="125"/>
    </row>
    <row r="214" spans="15:73"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5"/>
      <c r="BM214" s="125"/>
      <c r="BN214" s="125"/>
      <c r="BO214" s="125"/>
      <c r="BP214" s="125"/>
      <c r="BQ214" s="125"/>
      <c r="BR214" s="125"/>
      <c r="BS214" s="125"/>
      <c r="BT214" s="125"/>
      <c r="BU214" s="125"/>
    </row>
    <row r="215" spans="15:73"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  <c r="BM215" s="125"/>
      <c r="BN215" s="125"/>
      <c r="BO215" s="125"/>
      <c r="BP215" s="125"/>
      <c r="BQ215" s="125"/>
      <c r="BR215" s="125"/>
      <c r="BS215" s="125"/>
      <c r="BT215" s="125"/>
      <c r="BU215" s="125"/>
    </row>
    <row r="216" spans="15:73"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  <c r="BL216" s="125"/>
      <c r="BM216" s="125"/>
      <c r="BN216" s="125"/>
      <c r="BO216" s="125"/>
      <c r="BP216" s="125"/>
      <c r="BQ216" s="125"/>
      <c r="BR216" s="125"/>
      <c r="BS216" s="125"/>
      <c r="BT216" s="125"/>
      <c r="BU216" s="125"/>
    </row>
    <row r="217" spans="15:73"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5"/>
      <c r="BM217" s="125"/>
      <c r="BN217" s="125"/>
      <c r="BO217" s="125"/>
      <c r="BP217" s="125"/>
      <c r="BQ217" s="125"/>
      <c r="BR217" s="125"/>
      <c r="BS217" s="125"/>
      <c r="BT217" s="125"/>
      <c r="BU217" s="125"/>
    </row>
    <row r="218" spans="15:73"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  <c r="BL218" s="125"/>
      <c r="BM218" s="125"/>
      <c r="BN218" s="125"/>
      <c r="BO218" s="125"/>
      <c r="BP218" s="125"/>
      <c r="BQ218" s="125"/>
      <c r="BR218" s="125"/>
      <c r="BS218" s="125"/>
      <c r="BT218" s="125"/>
      <c r="BU218" s="125"/>
    </row>
    <row r="219" spans="15:73"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5"/>
      <c r="BM219" s="125"/>
      <c r="BN219" s="125"/>
      <c r="BO219" s="125"/>
      <c r="BP219" s="125"/>
      <c r="BQ219" s="125"/>
      <c r="BR219" s="125"/>
      <c r="BS219" s="125"/>
      <c r="BT219" s="125"/>
      <c r="BU219" s="125"/>
    </row>
    <row r="220" spans="15:73"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  <c r="BM220" s="125"/>
      <c r="BN220" s="125"/>
      <c r="BO220" s="125"/>
      <c r="BP220" s="125"/>
      <c r="BQ220" s="125"/>
      <c r="BR220" s="125"/>
      <c r="BS220" s="125"/>
      <c r="BT220" s="125"/>
      <c r="BU220" s="125"/>
    </row>
    <row r="221" spans="15:73"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5"/>
      <c r="BM221" s="125"/>
      <c r="BN221" s="125"/>
      <c r="BO221" s="125"/>
      <c r="BP221" s="125"/>
      <c r="BQ221" s="125"/>
      <c r="BR221" s="125"/>
      <c r="BS221" s="125"/>
      <c r="BT221" s="125"/>
      <c r="BU221" s="125"/>
    </row>
    <row r="222" spans="15:73"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5"/>
      <c r="BM222" s="125"/>
      <c r="BN222" s="125"/>
      <c r="BO222" s="125"/>
      <c r="BP222" s="125"/>
      <c r="BQ222" s="125"/>
      <c r="BR222" s="125"/>
      <c r="BS222" s="125"/>
      <c r="BT222" s="125"/>
      <c r="BU222" s="125"/>
    </row>
    <row r="223" spans="15:73"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  <c r="BM223" s="125"/>
      <c r="BN223" s="125"/>
      <c r="BO223" s="125"/>
      <c r="BP223" s="125"/>
      <c r="BQ223" s="125"/>
      <c r="BR223" s="125"/>
      <c r="BS223" s="125"/>
      <c r="BT223" s="125"/>
      <c r="BU223" s="125"/>
    </row>
    <row r="224" spans="15:73"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5"/>
      <c r="BM224" s="125"/>
      <c r="BN224" s="125"/>
      <c r="BO224" s="125"/>
      <c r="BP224" s="125"/>
      <c r="BQ224" s="125"/>
      <c r="BR224" s="125"/>
      <c r="BS224" s="125"/>
      <c r="BT224" s="125"/>
      <c r="BU224" s="125"/>
    </row>
    <row r="225" spans="15:73"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  <c r="BL225" s="125"/>
      <c r="BM225" s="125"/>
      <c r="BN225" s="125"/>
      <c r="BO225" s="125"/>
      <c r="BP225" s="125"/>
      <c r="BQ225" s="125"/>
      <c r="BR225" s="125"/>
      <c r="BS225" s="125"/>
      <c r="BT225" s="125"/>
      <c r="BU225" s="125"/>
    </row>
    <row r="226" spans="15:73"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5"/>
      <c r="BM226" s="125"/>
      <c r="BN226" s="125"/>
      <c r="BO226" s="125"/>
      <c r="BP226" s="125"/>
      <c r="BQ226" s="125"/>
      <c r="BR226" s="125"/>
      <c r="BS226" s="125"/>
      <c r="BT226" s="125"/>
      <c r="BU226" s="125"/>
    </row>
    <row r="227" spans="15:73"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25"/>
      <c r="BP227" s="125"/>
      <c r="BQ227" s="125"/>
      <c r="BR227" s="125"/>
      <c r="BS227" s="125"/>
      <c r="BT227" s="125"/>
      <c r="BU227" s="125"/>
    </row>
    <row r="228" spans="15:73"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  <c r="BM228" s="125"/>
      <c r="BN228" s="125"/>
      <c r="BO228" s="125"/>
      <c r="BP228" s="125"/>
      <c r="BQ228" s="125"/>
      <c r="BR228" s="125"/>
      <c r="BS228" s="125"/>
      <c r="BT228" s="125"/>
      <c r="BU228" s="125"/>
    </row>
    <row r="229" spans="15:73"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125"/>
      <c r="BN229" s="125"/>
      <c r="BO229" s="125"/>
      <c r="BP229" s="125"/>
      <c r="BQ229" s="125"/>
      <c r="BR229" s="125"/>
      <c r="BS229" s="125"/>
      <c r="BT229" s="125"/>
      <c r="BU229" s="125"/>
    </row>
    <row r="230" spans="15:73"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25"/>
      <c r="BP230" s="125"/>
      <c r="BQ230" s="125"/>
      <c r="BR230" s="125"/>
      <c r="BS230" s="125"/>
      <c r="BT230" s="125"/>
      <c r="BU230" s="125"/>
    </row>
    <row r="231" spans="15:73"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  <c r="BM231" s="125"/>
      <c r="BN231" s="125"/>
      <c r="BO231" s="125"/>
      <c r="BP231" s="125"/>
      <c r="BQ231" s="125"/>
      <c r="BR231" s="125"/>
      <c r="BS231" s="125"/>
      <c r="BT231" s="125"/>
      <c r="BU231" s="125"/>
    </row>
    <row r="232" spans="15:73"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125"/>
      <c r="BN232" s="125"/>
      <c r="BO232" s="125"/>
      <c r="BP232" s="125"/>
      <c r="BQ232" s="125"/>
      <c r="BR232" s="125"/>
      <c r="BS232" s="125"/>
      <c r="BT232" s="125"/>
      <c r="BU232" s="125"/>
    </row>
    <row r="233" spans="15:73"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25"/>
      <c r="BP233" s="125"/>
      <c r="BQ233" s="125"/>
      <c r="BR233" s="125"/>
      <c r="BS233" s="125"/>
      <c r="BT233" s="125"/>
      <c r="BU233" s="125"/>
    </row>
    <row r="234" spans="15:73"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  <c r="BM234" s="125"/>
      <c r="BN234" s="125"/>
      <c r="BO234" s="125"/>
      <c r="BP234" s="125"/>
      <c r="BQ234" s="125"/>
      <c r="BR234" s="125"/>
      <c r="BS234" s="125"/>
      <c r="BT234" s="125"/>
      <c r="BU234" s="125"/>
    </row>
    <row r="235" spans="15:73"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  <c r="BM235" s="125"/>
      <c r="BN235" s="125"/>
      <c r="BO235" s="125"/>
      <c r="BP235" s="125"/>
      <c r="BQ235" s="125"/>
      <c r="BR235" s="125"/>
      <c r="BS235" s="125"/>
      <c r="BT235" s="125"/>
      <c r="BU235" s="125"/>
    </row>
    <row r="236" spans="15:73"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25"/>
      <c r="BP236" s="125"/>
      <c r="BQ236" s="125"/>
      <c r="BR236" s="125"/>
      <c r="BS236" s="125"/>
      <c r="BT236" s="125"/>
      <c r="BU236" s="125"/>
    </row>
    <row r="237" spans="15:73"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  <c r="BM237" s="125"/>
      <c r="BN237" s="125"/>
      <c r="BO237" s="125"/>
      <c r="BP237" s="125"/>
      <c r="BQ237" s="125"/>
      <c r="BR237" s="125"/>
      <c r="BS237" s="125"/>
      <c r="BT237" s="125"/>
      <c r="BU237" s="125"/>
    </row>
    <row r="238" spans="15:73"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  <c r="BL238" s="125"/>
      <c r="BM238" s="125"/>
      <c r="BN238" s="125"/>
      <c r="BO238" s="125"/>
      <c r="BP238" s="125"/>
      <c r="BQ238" s="125"/>
      <c r="BR238" s="125"/>
      <c r="BS238" s="125"/>
      <c r="BT238" s="125"/>
      <c r="BU238" s="125"/>
    </row>
    <row r="239" spans="15:73"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  <c r="BL239" s="125"/>
      <c r="BM239" s="125"/>
      <c r="BN239" s="125"/>
      <c r="BO239" s="125"/>
      <c r="BP239" s="125"/>
      <c r="BQ239" s="125"/>
      <c r="BR239" s="125"/>
      <c r="BS239" s="125"/>
      <c r="BT239" s="125"/>
      <c r="BU239" s="125"/>
    </row>
    <row r="240" spans="15:73"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5"/>
      <c r="BM240" s="125"/>
      <c r="BN240" s="125"/>
      <c r="BO240" s="125"/>
      <c r="BP240" s="125"/>
      <c r="BQ240" s="125"/>
      <c r="BR240" s="125"/>
      <c r="BS240" s="125"/>
      <c r="BT240" s="125"/>
      <c r="BU240" s="125"/>
    </row>
    <row r="241" spans="15:73"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  <c r="BL241" s="125"/>
      <c r="BM241" s="125"/>
      <c r="BN241" s="125"/>
      <c r="BO241" s="125"/>
      <c r="BP241" s="125"/>
      <c r="BQ241" s="125"/>
      <c r="BR241" s="125"/>
      <c r="BS241" s="125"/>
      <c r="BT241" s="125"/>
      <c r="BU241" s="125"/>
    </row>
    <row r="242" spans="15:73"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  <c r="BL242" s="125"/>
      <c r="BM242" s="125"/>
      <c r="BN242" s="125"/>
      <c r="BO242" s="125"/>
      <c r="BP242" s="125"/>
      <c r="BQ242" s="125"/>
      <c r="BR242" s="125"/>
      <c r="BS242" s="125"/>
      <c r="BT242" s="125"/>
      <c r="BU242" s="125"/>
    </row>
    <row r="243" spans="15:73"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5"/>
      <c r="BM243" s="125"/>
      <c r="BN243" s="125"/>
      <c r="BO243" s="125"/>
      <c r="BP243" s="125"/>
      <c r="BQ243" s="125"/>
      <c r="BR243" s="125"/>
      <c r="BS243" s="125"/>
      <c r="BT243" s="125"/>
      <c r="BU243" s="125"/>
    </row>
    <row r="244" spans="15:73"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  <c r="BO244" s="125"/>
      <c r="BP244" s="125"/>
      <c r="BQ244" s="125"/>
      <c r="BR244" s="125"/>
      <c r="BS244" s="125"/>
      <c r="BT244" s="125"/>
      <c r="BU244" s="125"/>
    </row>
    <row r="245" spans="15:73"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5"/>
      <c r="BM245" s="125"/>
      <c r="BN245" s="125"/>
      <c r="BO245" s="125"/>
      <c r="BP245" s="125"/>
      <c r="BQ245" s="125"/>
      <c r="BR245" s="125"/>
      <c r="BS245" s="125"/>
      <c r="BT245" s="125"/>
      <c r="BU245" s="125"/>
    </row>
    <row r="246" spans="15:73"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  <c r="BL246" s="125"/>
      <c r="BM246" s="125"/>
      <c r="BN246" s="125"/>
      <c r="BO246" s="125"/>
      <c r="BP246" s="125"/>
      <c r="BQ246" s="125"/>
      <c r="BR246" s="125"/>
      <c r="BS246" s="125"/>
      <c r="BT246" s="125"/>
      <c r="BU246" s="125"/>
    </row>
    <row r="247" spans="15:73"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  <c r="BL247" s="125"/>
      <c r="BM247" s="125"/>
      <c r="BN247" s="125"/>
      <c r="BO247" s="125"/>
      <c r="BP247" s="125"/>
      <c r="BQ247" s="125"/>
      <c r="BR247" s="125"/>
      <c r="BS247" s="125"/>
      <c r="BT247" s="125"/>
      <c r="BU247" s="125"/>
    </row>
    <row r="248" spans="15:73"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  <c r="BL248" s="125"/>
      <c r="BM248" s="125"/>
      <c r="BN248" s="125"/>
      <c r="BO248" s="125"/>
      <c r="BP248" s="125"/>
      <c r="BQ248" s="125"/>
      <c r="BR248" s="125"/>
      <c r="BS248" s="125"/>
      <c r="BT248" s="125"/>
      <c r="BU248" s="125"/>
    </row>
    <row r="249" spans="15:73"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  <c r="BL249" s="125"/>
      <c r="BM249" s="125"/>
      <c r="BN249" s="125"/>
      <c r="BO249" s="125"/>
      <c r="BP249" s="125"/>
      <c r="BQ249" s="125"/>
      <c r="BR249" s="125"/>
      <c r="BS249" s="125"/>
      <c r="BT249" s="125"/>
      <c r="BU249" s="125"/>
    </row>
    <row r="250" spans="15:73"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  <c r="BL250" s="125"/>
      <c r="BM250" s="125"/>
      <c r="BN250" s="125"/>
      <c r="BO250" s="125"/>
      <c r="BP250" s="125"/>
      <c r="BQ250" s="125"/>
      <c r="BR250" s="125"/>
      <c r="BS250" s="125"/>
      <c r="BT250" s="125"/>
      <c r="BU250" s="125"/>
    </row>
    <row r="251" spans="15:73"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5"/>
      <c r="BM251" s="125"/>
      <c r="BN251" s="125"/>
      <c r="BO251" s="125"/>
      <c r="BP251" s="125"/>
      <c r="BQ251" s="125"/>
      <c r="BR251" s="125"/>
      <c r="BS251" s="125"/>
      <c r="BT251" s="125"/>
      <c r="BU251" s="125"/>
    </row>
    <row r="252" spans="15:73"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  <c r="BL252" s="125"/>
      <c r="BM252" s="125"/>
      <c r="BN252" s="125"/>
      <c r="BO252" s="125"/>
      <c r="BP252" s="125"/>
      <c r="BQ252" s="125"/>
      <c r="BR252" s="125"/>
      <c r="BS252" s="125"/>
      <c r="BT252" s="125"/>
      <c r="BU252" s="125"/>
    </row>
    <row r="253" spans="15:73"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  <c r="BL253" s="125"/>
      <c r="BM253" s="125"/>
      <c r="BN253" s="125"/>
      <c r="BO253" s="125"/>
      <c r="BP253" s="125"/>
      <c r="BQ253" s="125"/>
      <c r="BR253" s="125"/>
      <c r="BS253" s="125"/>
      <c r="BT253" s="125"/>
      <c r="BU253" s="125"/>
    </row>
    <row r="254" spans="15:73"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  <c r="BM254" s="125"/>
      <c r="BN254" s="125"/>
      <c r="BO254" s="125"/>
      <c r="BP254" s="125"/>
      <c r="BQ254" s="125"/>
      <c r="BR254" s="125"/>
      <c r="BS254" s="125"/>
      <c r="BT254" s="125"/>
      <c r="BU254" s="125"/>
    </row>
    <row r="255" spans="15:73"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5"/>
      <c r="BM255" s="125"/>
      <c r="BN255" s="125"/>
      <c r="BO255" s="125"/>
      <c r="BP255" s="125"/>
      <c r="BQ255" s="125"/>
      <c r="BR255" s="125"/>
      <c r="BS255" s="125"/>
      <c r="BT255" s="125"/>
      <c r="BU255" s="125"/>
    </row>
    <row r="256" spans="15:73"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  <c r="BL256" s="125"/>
      <c r="BM256" s="125"/>
      <c r="BN256" s="125"/>
      <c r="BO256" s="125"/>
      <c r="BP256" s="125"/>
      <c r="BQ256" s="125"/>
      <c r="BR256" s="125"/>
      <c r="BS256" s="125"/>
      <c r="BT256" s="125"/>
      <c r="BU256" s="125"/>
    </row>
    <row r="257" spans="15:73"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5"/>
      <c r="BM257" s="125"/>
      <c r="BN257" s="125"/>
      <c r="BO257" s="125"/>
      <c r="BP257" s="125"/>
      <c r="BQ257" s="125"/>
      <c r="BR257" s="125"/>
      <c r="BS257" s="125"/>
      <c r="BT257" s="125"/>
      <c r="BU257" s="125"/>
    </row>
    <row r="258" spans="15:73"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  <c r="BM258" s="125"/>
      <c r="BN258" s="125"/>
      <c r="BO258" s="125"/>
      <c r="BP258" s="125"/>
      <c r="BQ258" s="125"/>
      <c r="BR258" s="125"/>
      <c r="BS258" s="125"/>
      <c r="BT258" s="125"/>
      <c r="BU258" s="125"/>
    </row>
    <row r="259" spans="15:73"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125"/>
      <c r="BF259" s="125"/>
      <c r="BG259" s="125"/>
      <c r="BH259" s="125"/>
      <c r="BI259" s="125"/>
      <c r="BJ259" s="125"/>
      <c r="BK259" s="125"/>
      <c r="BL259" s="125"/>
      <c r="BM259" s="125"/>
      <c r="BN259" s="125"/>
      <c r="BO259" s="125"/>
      <c r="BP259" s="125"/>
      <c r="BQ259" s="125"/>
      <c r="BR259" s="125"/>
      <c r="BS259" s="125"/>
      <c r="BT259" s="125"/>
      <c r="BU259" s="125"/>
    </row>
    <row r="260" spans="15:73"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  <c r="BM260" s="125"/>
      <c r="BN260" s="125"/>
      <c r="BO260" s="125"/>
      <c r="BP260" s="125"/>
      <c r="BQ260" s="125"/>
      <c r="BR260" s="125"/>
      <c r="BS260" s="125"/>
      <c r="BT260" s="125"/>
      <c r="BU260" s="125"/>
    </row>
    <row r="261" spans="15:73"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  <c r="BO261" s="125"/>
      <c r="BP261" s="125"/>
      <c r="BQ261" s="125"/>
      <c r="BR261" s="125"/>
      <c r="BS261" s="125"/>
      <c r="BT261" s="125"/>
      <c r="BU261" s="125"/>
    </row>
    <row r="262" spans="15:73"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  <c r="BD262" s="125"/>
      <c r="BE262" s="125"/>
      <c r="BF262" s="125"/>
      <c r="BG262" s="125"/>
      <c r="BH262" s="125"/>
      <c r="BI262" s="125"/>
      <c r="BJ262" s="125"/>
      <c r="BK262" s="125"/>
      <c r="BL262" s="125"/>
      <c r="BM262" s="125"/>
      <c r="BN262" s="125"/>
      <c r="BO262" s="125"/>
      <c r="BP262" s="125"/>
      <c r="BQ262" s="125"/>
      <c r="BR262" s="125"/>
      <c r="BS262" s="125"/>
      <c r="BT262" s="125"/>
      <c r="BU262" s="125"/>
    </row>
    <row r="263" spans="15:73"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  <c r="BD263" s="125"/>
      <c r="BE263" s="125"/>
      <c r="BF263" s="125"/>
      <c r="BG263" s="125"/>
      <c r="BH263" s="125"/>
      <c r="BI263" s="125"/>
      <c r="BJ263" s="125"/>
      <c r="BK263" s="125"/>
      <c r="BL263" s="125"/>
      <c r="BM263" s="125"/>
      <c r="BN263" s="125"/>
      <c r="BO263" s="125"/>
      <c r="BP263" s="125"/>
      <c r="BQ263" s="125"/>
      <c r="BR263" s="125"/>
      <c r="BS263" s="125"/>
      <c r="BT263" s="125"/>
      <c r="BU263" s="125"/>
    </row>
    <row r="264" spans="15:73"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  <c r="BE264" s="125"/>
      <c r="BF264" s="125"/>
      <c r="BG264" s="125"/>
      <c r="BH264" s="125"/>
      <c r="BI264" s="125"/>
      <c r="BJ264" s="125"/>
      <c r="BK264" s="125"/>
      <c r="BL264" s="125"/>
      <c r="BM264" s="125"/>
      <c r="BN264" s="125"/>
      <c r="BO264" s="125"/>
      <c r="BP264" s="125"/>
      <c r="BQ264" s="125"/>
      <c r="BR264" s="125"/>
      <c r="BS264" s="125"/>
      <c r="BT264" s="125"/>
      <c r="BU264" s="125"/>
    </row>
    <row r="265" spans="15:73"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  <c r="BC265" s="125"/>
      <c r="BD265" s="125"/>
      <c r="BE265" s="125"/>
      <c r="BF265" s="125"/>
      <c r="BG265" s="125"/>
      <c r="BH265" s="125"/>
      <c r="BI265" s="125"/>
      <c r="BJ265" s="125"/>
      <c r="BK265" s="125"/>
      <c r="BL265" s="125"/>
      <c r="BM265" s="125"/>
      <c r="BN265" s="125"/>
      <c r="BO265" s="125"/>
      <c r="BP265" s="125"/>
      <c r="BQ265" s="125"/>
      <c r="BR265" s="125"/>
      <c r="BS265" s="125"/>
      <c r="BT265" s="125"/>
      <c r="BU265" s="125"/>
    </row>
    <row r="266" spans="15:73"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  <c r="BD266" s="125"/>
      <c r="BE266" s="125"/>
      <c r="BF266" s="125"/>
      <c r="BG266" s="125"/>
      <c r="BH266" s="125"/>
      <c r="BI266" s="125"/>
      <c r="BJ266" s="125"/>
      <c r="BK266" s="125"/>
      <c r="BL266" s="125"/>
      <c r="BM266" s="125"/>
      <c r="BN266" s="125"/>
      <c r="BO266" s="125"/>
      <c r="BP266" s="125"/>
      <c r="BQ266" s="125"/>
      <c r="BR266" s="125"/>
      <c r="BS266" s="125"/>
      <c r="BT266" s="125"/>
      <c r="BU266" s="125"/>
    </row>
    <row r="267" spans="15:73"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/>
      <c r="BE267" s="125"/>
      <c r="BF267" s="125"/>
      <c r="BG267" s="125"/>
      <c r="BH267" s="125"/>
      <c r="BI267" s="125"/>
      <c r="BJ267" s="125"/>
      <c r="BK267" s="125"/>
      <c r="BL267" s="125"/>
      <c r="BM267" s="125"/>
      <c r="BN267" s="125"/>
      <c r="BO267" s="125"/>
      <c r="BP267" s="125"/>
      <c r="BQ267" s="125"/>
      <c r="BR267" s="125"/>
      <c r="BS267" s="125"/>
      <c r="BT267" s="125"/>
      <c r="BU267" s="125"/>
    </row>
    <row r="268" spans="15:73"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/>
      <c r="BE268" s="125"/>
      <c r="BF268" s="125"/>
      <c r="BG268" s="125"/>
      <c r="BH268" s="125"/>
      <c r="BI268" s="125"/>
      <c r="BJ268" s="125"/>
      <c r="BK268" s="125"/>
      <c r="BL268" s="125"/>
      <c r="BM268" s="125"/>
      <c r="BN268" s="125"/>
      <c r="BO268" s="125"/>
      <c r="BP268" s="125"/>
      <c r="BQ268" s="125"/>
      <c r="BR268" s="125"/>
      <c r="BS268" s="125"/>
      <c r="BT268" s="125"/>
      <c r="BU268" s="125"/>
    </row>
    <row r="269" spans="15:73"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  <c r="BM269" s="125"/>
      <c r="BN269" s="125"/>
      <c r="BO269" s="125"/>
      <c r="BP269" s="125"/>
      <c r="BQ269" s="125"/>
      <c r="BR269" s="125"/>
      <c r="BS269" s="125"/>
      <c r="BT269" s="125"/>
      <c r="BU269" s="125"/>
    </row>
    <row r="270" spans="15:73"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  <c r="BC270" s="125"/>
      <c r="BD270" s="125"/>
      <c r="BE270" s="125"/>
      <c r="BF270" s="125"/>
      <c r="BG270" s="125"/>
      <c r="BH270" s="125"/>
      <c r="BI270" s="125"/>
      <c r="BJ270" s="125"/>
      <c r="BK270" s="125"/>
      <c r="BL270" s="125"/>
      <c r="BM270" s="125"/>
      <c r="BN270" s="125"/>
      <c r="BO270" s="125"/>
      <c r="BP270" s="125"/>
      <c r="BQ270" s="125"/>
      <c r="BR270" s="125"/>
      <c r="BS270" s="125"/>
      <c r="BT270" s="125"/>
      <c r="BU270" s="125"/>
    </row>
    <row r="271" spans="15:73"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  <c r="BD271" s="125"/>
      <c r="BE271" s="125"/>
      <c r="BF271" s="125"/>
      <c r="BG271" s="125"/>
      <c r="BH271" s="125"/>
      <c r="BI271" s="125"/>
      <c r="BJ271" s="125"/>
      <c r="BK271" s="125"/>
      <c r="BL271" s="125"/>
      <c r="BM271" s="125"/>
      <c r="BN271" s="125"/>
      <c r="BO271" s="125"/>
      <c r="BP271" s="125"/>
      <c r="BQ271" s="125"/>
      <c r="BR271" s="125"/>
      <c r="BS271" s="125"/>
      <c r="BT271" s="125"/>
      <c r="BU271" s="125"/>
    </row>
    <row r="272" spans="15:73"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  <c r="BC272" s="125"/>
      <c r="BD272" s="125"/>
      <c r="BE272" s="125"/>
      <c r="BF272" s="125"/>
      <c r="BG272" s="125"/>
      <c r="BH272" s="125"/>
      <c r="BI272" s="125"/>
      <c r="BJ272" s="125"/>
      <c r="BK272" s="125"/>
      <c r="BL272" s="125"/>
      <c r="BM272" s="125"/>
      <c r="BN272" s="125"/>
      <c r="BO272" s="125"/>
      <c r="BP272" s="125"/>
      <c r="BQ272" s="125"/>
      <c r="BR272" s="125"/>
      <c r="BS272" s="125"/>
      <c r="BT272" s="125"/>
      <c r="BU272" s="125"/>
    </row>
    <row r="273" spans="15:73"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/>
      <c r="BE273" s="125"/>
      <c r="BF273" s="125"/>
      <c r="BG273" s="125"/>
      <c r="BH273" s="125"/>
      <c r="BI273" s="125"/>
      <c r="BJ273" s="125"/>
      <c r="BK273" s="125"/>
      <c r="BL273" s="125"/>
      <c r="BM273" s="125"/>
      <c r="BN273" s="125"/>
      <c r="BO273" s="125"/>
      <c r="BP273" s="125"/>
      <c r="BQ273" s="125"/>
      <c r="BR273" s="125"/>
      <c r="BS273" s="125"/>
      <c r="BT273" s="125"/>
      <c r="BU273" s="125"/>
    </row>
    <row r="274" spans="15:73"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/>
      <c r="BE274" s="125"/>
      <c r="BF274" s="125"/>
      <c r="BG274" s="125"/>
      <c r="BH274" s="125"/>
      <c r="BI274" s="125"/>
      <c r="BJ274" s="125"/>
      <c r="BK274" s="125"/>
      <c r="BL274" s="125"/>
      <c r="BM274" s="125"/>
      <c r="BN274" s="125"/>
      <c r="BO274" s="125"/>
      <c r="BP274" s="125"/>
      <c r="BQ274" s="125"/>
      <c r="BR274" s="125"/>
      <c r="BS274" s="125"/>
      <c r="BT274" s="125"/>
      <c r="BU274" s="125"/>
    </row>
    <row r="275" spans="15:73"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/>
      <c r="BE275" s="125"/>
      <c r="BF275" s="125"/>
      <c r="BG275" s="125"/>
      <c r="BH275" s="125"/>
      <c r="BI275" s="125"/>
      <c r="BJ275" s="125"/>
      <c r="BK275" s="125"/>
      <c r="BL275" s="125"/>
      <c r="BM275" s="125"/>
      <c r="BN275" s="125"/>
      <c r="BO275" s="125"/>
      <c r="BP275" s="125"/>
      <c r="BQ275" s="125"/>
      <c r="BR275" s="125"/>
      <c r="BS275" s="125"/>
      <c r="BT275" s="125"/>
      <c r="BU275" s="125"/>
    </row>
    <row r="276" spans="15:73"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/>
      <c r="BE276" s="125"/>
      <c r="BF276" s="125"/>
      <c r="BG276" s="125"/>
      <c r="BH276" s="125"/>
      <c r="BI276" s="125"/>
      <c r="BJ276" s="125"/>
      <c r="BK276" s="125"/>
      <c r="BL276" s="125"/>
      <c r="BM276" s="125"/>
      <c r="BN276" s="125"/>
      <c r="BO276" s="125"/>
      <c r="BP276" s="125"/>
      <c r="BQ276" s="125"/>
      <c r="BR276" s="125"/>
      <c r="BS276" s="125"/>
      <c r="BT276" s="125"/>
      <c r="BU276" s="125"/>
    </row>
    <row r="277" spans="15:73"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/>
      <c r="BE277" s="125"/>
      <c r="BF277" s="125"/>
      <c r="BG277" s="125"/>
      <c r="BH277" s="125"/>
      <c r="BI277" s="125"/>
      <c r="BJ277" s="125"/>
      <c r="BK277" s="125"/>
      <c r="BL277" s="125"/>
      <c r="BM277" s="125"/>
      <c r="BN277" s="125"/>
      <c r="BO277" s="125"/>
      <c r="BP277" s="125"/>
      <c r="BQ277" s="125"/>
      <c r="BR277" s="125"/>
      <c r="BS277" s="125"/>
      <c r="BT277" s="125"/>
      <c r="BU277" s="125"/>
    </row>
    <row r="278" spans="15:73"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  <c r="BE278" s="125"/>
      <c r="BF278" s="125"/>
      <c r="BG278" s="125"/>
      <c r="BH278" s="125"/>
      <c r="BI278" s="125"/>
      <c r="BJ278" s="125"/>
      <c r="BK278" s="125"/>
      <c r="BL278" s="125"/>
      <c r="BM278" s="125"/>
      <c r="BN278" s="125"/>
      <c r="BO278" s="125"/>
      <c r="BP278" s="125"/>
      <c r="BQ278" s="125"/>
      <c r="BR278" s="125"/>
      <c r="BS278" s="125"/>
      <c r="BT278" s="125"/>
      <c r="BU278" s="125"/>
    </row>
    <row r="279" spans="15:73"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/>
      <c r="BE279" s="125"/>
      <c r="BF279" s="125"/>
      <c r="BG279" s="125"/>
      <c r="BH279" s="125"/>
      <c r="BI279" s="125"/>
      <c r="BJ279" s="125"/>
      <c r="BK279" s="125"/>
      <c r="BL279" s="125"/>
      <c r="BM279" s="125"/>
      <c r="BN279" s="125"/>
      <c r="BO279" s="125"/>
      <c r="BP279" s="125"/>
      <c r="BQ279" s="125"/>
      <c r="BR279" s="125"/>
      <c r="BS279" s="125"/>
      <c r="BT279" s="125"/>
      <c r="BU279" s="125"/>
    </row>
    <row r="280" spans="15:73"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/>
      <c r="BE280" s="125"/>
      <c r="BF280" s="125"/>
      <c r="BG280" s="125"/>
      <c r="BH280" s="125"/>
      <c r="BI280" s="125"/>
      <c r="BJ280" s="125"/>
      <c r="BK280" s="125"/>
      <c r="BL280" s="125"/>
      <c r="BM280" s="125"/>
      <c r="BN280" s="125"/>
      <c r="BO280" s="125"/>
      <c r="BP280" s="125"/>
      <c r="BQ280" s="125"/>
      <c r="BR280" s="125"/>
      <c r="BS280" s="125"/>
      <c r="BT280" s="125"/>
      <c r="BU280" s="125"/>
    </row>
    <row r="281" spans="15:73"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/>
      <c r="BE281" s="125"/>
      <c r="BF281" s="125"/>
      <c r="BG281" s="125"/>
      <c r="BH281" s="125"/>
      <c r="BI281" s="125"/>
      <c r="BJ281" s="125"/>
      <c r="BK281" s="125"/>
      <c r="BL281" s="125"/>
      <c r="BM281" s="125"/>
      <c r="BN281" s="125"/>
      <c r="BO281" s="125"/>
      <c r="BP281" s="125"/>
      <c r="BQ281" s="125"/>
      <c r="BR281" s="125"/>
      <c r="BS281" s="125"/>
      <c r="BT281" s="125"/>
      <c r="BU281" s="125"/>
    </row>
    <row r="282" spans="15:73"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/>
      <c r="BE282" s="125"/>
      <c r="BF282" s="125"/>
      <c r="BG282" s="125"/>
      <c r="BH282" s="125"/>
      <c r="BI282" s="125"/>
      <c r="BJ282" s="125"/>
      <c r="BK282" s="125"/>
      <c r="BL282" s="125"/>
      <c r="BM282" s="125"/>
      <c r="BN282" s="125"/>
      <c r="BO282" s="125"/>
      <c r="BP282" s="125"/>
      <c r="BQ282" s="125"/>
      <c r="BR282" s="125"/>
      <c r="BS282" s="125"/>
      <c r="BT282" s="125"/>
      <c r="BU282" s="125"/>
    </row>
    <row r="283" spans="15:73"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  <c r="BE283" s="125"/>
      <c r="BF283" s="125"/>
      <c r="BG283" s="125"/>
      <c r="BH283" s="125"/>
      <c r="BI283" s="125"/>
      <c r="BJ283" s="125"/>
      <c r="BK283" s="125"/>
      <c r="BL283" s="125"/>
      <c r="BM283" s="125"/>
      <c r="BN283" s="125"/>
      <c r="BO283" s="125"/>
      <c r="BP283" s="125"/>
      <c r="BQ283" s="125"/>
      <c r="BR283" s="125"/>
      <c r="BS283" s="125"/>
      <c r="BT283" s="125"/>
      <c r="BU283" s="125"/>
    </row>
    <row r="284" spans="15:73"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  <c r="BD284" s="125"/>
      <c r="BE284" s="125"/>
      <c r="BF284" s="125"/>
      <c r="BG284" s="125"/>
      <c r="BH284" s="125"/>
      <c r="BI284" s="125"/>
      <c r="BJ284" s="125"/>
      <c r="BK284" s="125"/>
      <c r="BL284" s="125"/>
      <c r="BM284" s="125"/>
      <c r="BN284" s="125"/>
      <c r="BO284" s="125"/>
      <c r="BP284" s="125"/>
      <c r="BQ284" s="125"/>
      <c r="BR284" s="125"/>
      <c r="BS284" s="125"/>
      <c r="BT284" s="125"/>
      <c r="BU284" s="125"/>
    </row>
    <row r="285" spans="15:73"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  <c r="BD285" s="125"/>
      <c r="BE285" s="125"/>
      <c r="BF285" s="125"/>
      <c r="BG285" s="125"/>
      <c r="BH285" s="125"/>
      <c r="BI285" s="125"/>
      <c r="BJ285" s="125"/>
      <c r="BK285" s="125"/>
      <c r="BL285" s="125"/>
      <c r="BM285" s="125"/>
      <c r="BN285" s="125"/>
      <c r="BO285" s="125"/>
      <c r="BP285" s="125"/>
      <c r="BQ285" s="125"/>
      <c r="BR285" s="125"/>
      <c r="BS285" s="125"/>
      <c r="BT285" s="125"/>
      <c r="BU285" s="125"/>
    </row>
    <row r="286" spans="15:73"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/>
      <c r="BE286" s="125"/>
      <c r="BF286" s="125"/>
      <c r="BG286" s="125"/>
      <c r="BH286" s="125"/>
      <c r="BI286" s="125"/>
      <c r="BJ286" s="125"/>
      <c r="BK286" s="125"/>
      <c r="BL286" s="125"/>
      <c r="BM286" s="125"/>
      <c r="BN286" s="125"/>
      <c r="BO286" s="125"/>
      <c r="BP286" s="125"/>
      <c r="BQ286" s="125"/>
      <c r="BR286" s="125"/>
      <c r="BS286" s="125"/>
      <c r="BT286" s="125"/>
      <c r="BU286" s="125"/>
    </row>
    <row r="287" spans="15:73"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/>
      <c r="BE287" s="125"/>
      <c r="BF287" s="125"/>
      <c r="BG287" s="125"/>
      <c r="BH287" s="125"/>
      <c r="BI287" s="125"/>
      <c r="BJ287" s="125"/>
      <c r="BK287" s="125"/>
      <c r="BL287" s="125"/>
      <c r="BM287" s="125"/>
      <c r="BN287" s="125"/>
      <c r="BO287" s="125"/>
      <c r="BP287" s="125"/>
      <c r="BQ287" s="125"/>
      <c r="BR287" s="125"/>
      <c r="BS287" s="125"/>
      <c r="BT287" s="125"/>
      <c r="BU287" s="125"/>
    </row>
    <row r="288" spans="15:73"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/>
      <c r="BE288" s="125"/>
      <c r="BF288" s="125"/>
      <c r="BG288" s="125"/>
      <c r="BH288" s="125"/>
      <c r="BI288" s="125"/>
      <c r="BJ288" s="125"/>
      <c r="BK288" s="125"/>
      <c r="BL288" s="125"/>
      <c r="BM288" s="125"/>
      <c r="BN288" s="125"/>
      <c r="BO288" s="125"/>
      <c r="BP288" s="125"/>
      <c r="BQ288" s="125"/>
      <c r="BR288" s="125"/>
      <c r="BS288" s="125"/>
      <c r="BT288" s="125"/>
      <c r="BU288" s="125"/>
    </row>
    <row r="289" spans="15:73"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/>
      <c r="BE289" s="125"/>
      <c r="BF289" s="125"/>
      <c r="BG289" s="125"/>
      <c r="BH289" s="125"/>
      <c r="BI289" s="125"/>
      <c r="BJ289" s="125"/>
      <c r="BK289" s="125"/>
      <c r="BL289" s="125"/>
      <c r="BM289" s="125"/>
      <c r="BN289" s="125"/>
      <c r="BO289" s="125"/>
      <c r="BP289" s="125"/>
      <c r="BQ289" s="125"/>
      <c r="BR289" s="125"/>
      <c r="BS289" s="125"/>
      <c r="BT289" s="125"/>
      <c r="BU289" s="125"/>
    </row>
    <row r="290" spans="15:73"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/>
      <c r="BE290" s="125"/>
      <c r="BF290" s="125"/>
      <c r="BG290" s="125"/>
      <c r="BH290" s="125"/>
      <c r="BI290" s="125"/>
      <c r="BJ290" s="125"/>
      <c r="BK290" s="125"/>
      <c r="BL290" s="125"/>
      <c r="BM290" s="125"/>
      <c r="BN290" s="125"/>
      <c r="BO290" s="125"/>
      <c r="BP290" s="125"/>
      <c r="BQ290" s="125"/>
      <c r="BR290" s="125"/>
      <c r="BS290" s="125"/>
      <c r="BT290" s="125"/>
      <c r="BU290" s="125"/>
    </row>
    <row r="291" spans="15:73"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/>
      <c r="BE291" s="125"/>
      <c r="BF291" s="125"/>
      <c r="BG291" s="125"/>
      <c r="BH291" s="125"/>
      <c r="BI291" s="125"/>
      <c r="BJ291" s="125"/>
      <c r="BK291" s="125"/>
      <c r="BL291" s="125"/>
      <c r="BM291" s="125"/>
      <c r="BN291" s="125"/>
      <c r="BO291" s="125"/>
      <c r="BP291" s="125"/>
      <c r="BQ291" s="125"/>
      <c r="BR291" s="125"/>
      <c r="BS291" s="125"/>
      <c r="BT291" s="125"/>
      <c r="BU291" s="125"/>
    </row>
    <row r="292" spans="15:73"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/>
      <c r="BE292" s="125"/>
      <c r="BF292" s="125"/>
      <c r="BG292" s="125"/>
      <c r="BH292" s="125"/>
      <c r="BI292" s="125"/>
      <c r="BJ292" s="125"/>
      <c r="BK292" s="125"/>
      <c r="BL292" s="125"/>
      <c r="BM292" s="125"/>
      <c r="BN292" s="125"/>
      <c r="BO292" s="125"/>
      <c r="BP292" s="125"/>
      <c r="BQ292" s="125"/>
      <c r="BR292" s="125"/>
      <c r="BS292" s="125"/>
      <c r="BT292" s="125"/>
      <c r="BU292" s="125"/>
    </row>
    <row r="293" spans="15:73"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/>
      <c r="BE293" s="125"/>
      <c r="BF293" s="125"/>
      <c r="BG293" s="125"/>
      <c r="BH293" s="125"/>
      <c r="BI293" s="125"/>
      <c r="BJ293" s="125"/>
      <c r="BK293" s="125"/>
      <c r="BL293" s="125"/>
      <c r="BM293" s="125"/>
      <c r="BN293" s="125"/>
      <c r="BO293" s="125"/>
      <c r="BP293" s="125"/>
      <c r="BQ293" s="125"/>
      <c r="BR293" s="125"/>
      <c r="BS293" s="125"/>
      <c r="BT293" s="125"/>
      <c r="BU293" s="125"/>
    </row>
    <row r="294" spans="15:73"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  <c r="BD294" s="125"/>
      <c r="BE294" s="125"/>
      <c r="BF294" s="125"/>
      <c r="BG294" s="125"/>
      <c r="BH294" s="125"/>
      <c r="BI294" s="125"/>
      <c r="BJ294" s="125"/>
      <c r="BK294" s="125"/>
      <c r="BL294" s="125"/>
      <c r="BM294" s="125"/>
      <c r="BN294" s="125"/>
      <c r="BO294" s="125"/>
      <c r="BP294" s="125"/>
      <c r="BQ294" s="125"/>
      <c r="BR294" s="125"/>
      <c r="BS294" s="125"/>
      <c r="BT294" s="125"/>
      <c r="BU294" s="125"/>
    </row>
    <row r="295" spans="15:73"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/>
      <c r="BE295" s="125"/>
      <c r="BF295" s="125"/>
      <c r="BG295" s="125"/>
      <c r="BH295" s="125"/>
      <c r="BI295" s="125"/>
      <c r="BJ295" s="125"/>
      <c r="BK295" s="125"/>
      <c r="BL295" s="125"/>
      <c r="BM295" s="125"/>
      <c r="BN295" s="125"/>
      <c r="BO295" s="125"/>
      <c r="BP295" s="125"/>
      <c r="BQ295" s="125"/>
      <c r="BR295" s="125"/>
      <c r="BS295" s="125"/>
      <c r="BT295" s="125"/>
      <c r="BU295" s="125"/>
    </row>
    <row r="296" spans="15:73"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/>
      <c r="BE296" s="125"/>
      <c r="BF296" s="125"/>
      <c r="BG296" s="125"/>
      <c r="BH296" s="125"/>
      <c r="BI296" s="125"/>
      <c r="BJ296" s="125"/>
      <c r="BK296" s="125"/>
      <c r="BL296" s="125"/>
      <c r="BM296" s="125"/>
      <c r="BN296" s="125"/>
      <c r="BO296" s="125"/>
      <c r="BP296" s="125"/>
      <c r="BQ296" s="125"/>
      <c r="BR296" s="125"/>
      <c r="BS296" s="125"/>
      <c r="BT296" s="125"/>
      <c r="BU296" s="125"/>
    </row>
    <row r="297" spans="15:73"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  <c r="BD297" s="125"/>
      <c r="BE297" s="125"/>
      <c r="BF297" s="125"/>
      <c r="BG297" s="125"/>
      <c r="BH297" s="125"/>
      <c r="BI297" s="125"/>
      <c r="BJ297" s="125"/>
      <c r="BK297" s="125"/>
      <c r="BL297" s="125"/>
      <c r="BM297" s="125"/>
      <c r="BN297" s="125"/>
      <c r="BO297" s="125"/>
      <c r="BP297" s="125"/>
      <c r="BQ297" s="125"/>
      <c r="BR297" s="125"/>
      <c r="BS297" s="125"/>
      <c r="BT297" s="125"/>
      <c r="BU297" s="125"/>
    </row>
    <row r="298" spans="15:73"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  <c r="BD298" s="125"/>
      <c r="BE298" s="125"/>
      <c r="BF298" s="125"/>
      <c r="BG298" s="125"/>
      <c r="BH298" s="125"/>
      <c r="BI298" s="125"/>
      <c r="BJ298" s="125"/>
      <c r="BK298" s="125"/>
      <c r="BL298" s="125"/>
      <c r="BM298" s="125"/>
      <c r="BN298" s="125"/>
      <c r="BO298" s="125"/>
      <c r="BP298" s="125"/>
      <c r="BQ298" s="125"/>
      <c r="BR298" s="125"/>
      <c r="BS298" s="125"/>
      <c r="BT298" s="125"/>
      <c r="BU298" s="125"/>
    </row>
    <row r="299" spans="15:73"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/>
      <c r="BE299" s="125"/>
      <c r="BF299" s="125"/>
      <c r="BG299" s="125"/>
      <c r="BH299" s="125"/>
      <c r="BI299" s="125"/>
      <c r="BJ299" s="125"/>
      <c r="BK299" s="125"/>
      <c r="BL299" s="125"/>
      <c r="BM299" s="125"/>
      <c r="BN299" s="125"/>
      <c r="BO299" s="125"/>
      <c r="BP299" s="125"/>
      <c r="BQ299" s="125"/>
      <c r="BR299" s="125"/>
      <c r="BS299" s="125"/>
      <c r="BT299" s="125"/>
      <c r="BU299" s="125"/>
    </row>
    <row r="300" spans="15:73"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/>
      <c r="BE300" s="125"/>
      <c r="BF300" s="125"/>
      <c r="BG300" s="125"/>
      <c r="BH300" s="125"/>
      <c r="BI300" s="125"/>
      <c r="BJ300" s="125"/>
      <c r="BK300" s="125"/>
      <c r="BL300" s="125"/>
      <c r="BM300" s="125"/>
      <c r="BN300" s="125"/>
      <c r="BO300" s="125"/>
      <c r="BP300" s="125"/>
      <c r="BQ300" s="125"/>
      <c r="BR300" s="125"/>
      <c r="BS300" s="125"/>
      <c r="BT300" s="125"/>
      <c r="BU300" s="125"/>
    </row>
    <row r="301" spans="15:73"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/>
      <c r="BE301" s="125"/>
      <c r="BF301" s="125"/>
      <c r="BG301" s="125"/>
      <c r="BH301" s="125"/>
      <c r="BI301" s="125"/>
      <c r="BJ301" s="125"/>
      <c r="BK301" s="125"/>
      <c r="BL301" s="125"/>
      <c r="BM301" s="125"/>
      <c r="BN301" s="125"/>
      <c r="BO301" s="125"/>
      <c r="BP301" s="125"/>
      <c r="BQ301" s="125"/>
      <c r="BR301" s="125"/>
      <c r="BS301" s="125"/>
      <c r="BT301" s="125"/>
      <c r="BU301" s="125"/>
    </row>
    <row r="302" spans="15:73"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/>
      <c r="BE302" s="125"/>
      <c r="BF302" s="125"/>
      <c r="BG302" s="125"/>
      <c r="BH302" s="125"/>
      <c r="BI302" s="125"/>
      <c r="BJ302" s="125"/>
      <c r="BK302" s="125"/>
      <c r="BL302" s="125"/>
      <c r="BM302" s="125"/>
      <c r="BN302" s="125"/>
      <c r="BO302" s="125"/>
      <c r="BP302" s="125"/>
      <c r="BQ302" s="125"/>
      <c r="BR302" s="125"/>
      <c r="BS302" s="125"/>
      <c r="BT302" s="125"/>
      <c r="BU302" s="125"/>
    </row>
    <row r="303" spans="15:73"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/>
      <c r="BE303" s="125"/>
      <c r="BF303" s="125"/>
      <c r="BG303" s="125"/>
      <c r="BH303" s="125"/>
      <c r="BI303" s="125"/>
      <c r="BJ303" s="125"/>
      <c r="BK303" s="125"/>
      <c r="BL303" s="125"/>
      <c r="BM303" s="125"/>
      <c r="BN303" s="125"/>
      <c r="BO303" s="125"/>
      <c r="BP303" s="125"/>
      <c r="BQ303" s="125"/>
      <c r="BR303" s="125"/>
      <c r="BS303" s="125"/>
      <c r="BT303" s="125"/>
      <c r="BU303" s="125"/>
    </row>
    <row r="304" spans="15:73"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/>
      <c r="BE304" s="125"/>
      <c r="BF304" s="125"/>
      <c r="BG304" s="125"/>
      <c r="BH304" s="125"/>
      <c r="BI304" s="125"/>
      <c r="BJ304" s="125"/>
      <c r="BK304" s="125"/>
      <c r="BL304" s="125"/>
      <c r="BM304" s="125"/>
      <c r="BN304" s="125"/>
      <c r="BO304" s="125"/>
      <c r="BP304" s="125"/>
      <c r="BQ304" s="125"/>
      <c r="BR304" s="125"/>
      <c r="BS304" s="125"/>
      <c r="BT304" s="125"/>
      <c r="BU304" s="125"/>
    </row>
    <row r="305" spans="15:73"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/>
      <c r="BE305" s="125"/>
      <c r="BF305" s="125"/>
      <c r="BG305" s="125"/>
      <c r="BH305" s="125"/>
      <c r="BI305" s="125"/>
      <c r="BJ305" s="125"/>
      <c r="BK305" s="125"/>
      <c r="BL305" s="125"/>
      <c r="BM305" s="125"/>
      <c r="BN305" s="125"/>
      <c r="BO305" s="125"/>
      <c r="BP305" s="125"/>
      <c r="BQ305" s="125"/>
      <c r="BR305" s="125"/>
      <c r="BS305" s="125"/>
      <c r="BT305" s="125"/>
      <c r="BU305" s="125"/>
    </row>
    <row r="306" spans="15:73"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/>
      <c r="BE306" s="125"/>
      <c r="BF306" s="125"/>
      <c r="BG306" s="125"/>
      <c r="BH306" s="125"/>
      <c r="BI306" s="125"/>
      <c r="BJ306" s="125"/>
      <c r="BK306" s="125"/>
      <c r="BL306" s="125"/>
      <c r="BM306" s="125"/>
      <c r="BN306" s="125"/>
      <c r="BO306" s="125"/>
      <c r="BP306" s="125"/>
      <c r="BQ306" s="125"/>
      <c r="BR306" s="125"/>
      <c r="BS306" s="125"/>
      <c r="BT306" s="125"/>
      <c r="BU306" s="125"/>
    </row>
    <row r="307" spans="15:73"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/>
      <c r="BE307" s="125"/>
      <c r="BF307" s="125"/>
      <c r="BG307" s="125"/>
      <c r="BH307" s="125"/>
      <c r="BI307" s="125"/>
      <c r="BJ307" s="125"/>
      <c r="BK307" s="125"/>
      <c r="BL307" s="125"/>
      <c r="BM307" s="125"/>
      <c r="BN307" s="125"/>
      <c r="BO307" s="125"/>
      <c r="BP307" s="125"/>
      <c r="BQ307" s="125"/>
      <c r="BR307" s="125"/>
      <c r="BS307" s="125"/>
      <c r="BT307" s="125"/>
      <c r="BU307" s="125"/>
    </row>
    <row r="308" spans="15:73"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  <c r="BD308" s="125"/>
      <c r="BE308" s="125"/>
      <c r="BF308" s="125"/>
      <c r="BG308" s="125"/>
      <c r="BH308" s="125"/>
      <c r="BI308" s="125"/>
      <c r="BJ308" s="125"/>
      <c r="BK308" s="125"/>
      <c r="BL308" s="125"/>
      <c r="BM308" s="125"/>
      <c r="BN308" s="125"/>
      <c r="BO308" s="125"/>
      <c r="BP308" s="125"/>
      <c r="BQ308" s="125"/>
      <c r="BR308" s="125"/>
      <c r="BS308" s="125"/>
      <c r="BT308" s="125"/>
      <c r="BU308" s="125"/>
    </row>
    <row r="309" spans="15:73"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125"/>
      <c r="BF309" s="125"/>
      <c r="BG309" s="125"/>
      <c r="BH309" s="125"/>
      <c r="BI309" s="125"/>
      <c r="BJ309" s="125"/>
      <c r="BK309" s="125"/>
      <c r="BL309" s="125"/>
      <c r="BM309" s="125"/>
      <c r="BN309" s="125"/>
      <c r="BO309" s="125"/>
      <c r="BP309" s="125"/>
      <c r="BQ309" s="125"/>
      <c r="BR309" s="125"/>
      <c r="BS309" s="125"/>
      <c r="BT309" s="125"/>
      <c r="BU309" s="125"/>
    </row>
    <row r="310" spans="15:73"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  <c r="BM310" s="125"/>
      <c r="BN310" s="125"/>
      <c r="BO310" s="125"/>
      <c r="BP310" s="125"/>
      <c r="BQ310" s="125"/>
      <c r="BR310" s="125"/>
      <c r="BS310" s="125"/>
      <c r="BT310" s="125"/>
      <c r="BU310" s="125"/>
    </row>
    <row r="311" spans="15:73"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125"/>
      <c r="BF311" s="125"/>
      <c r="BG311" s="125"/>
      <c r="BH311" s="125"/>
      <c r="BI311" s="125"/>
      <c r="BJ311" s="125"/>
      <c r="BK311" s="125"/>
      <c r="BL311" s="125"/>
      <c r="BM311" s="125"/>
      <c r="BN311" s="125"/>
      <c r="BO311" s="125"/>
      <c r="BP311" s="125"/>
      <c r="BQ311" s="125"/>
      <c r="BR311" s="125"/>
      <c r="BS311" s="125"/>
      <c r="BT311" s="125"/>
      <c r="BU311" s="125"/>
    </row>
    <row r="312" spans="15:73"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125"/>
      <c r="BF312" s="125"/>
      <c r="BG312" s="125"/>
      <c r="BH312" s="125"/>
      <c r="BI312" s="125"/>
      <c r="BJ312" s="125"/>
      <c r="BK312" s="125"/>
      <c r="BL312" s="125"/>
      <c r="BM312" s="125"/>
      <c r="BN312" s="125"/>
      <c r="BO312" s="125"/>
      <c r="BP312" s="125"/>
      <c r="BQ312" s="125"/>
      <c r="BR312" s="125"/>
      <c r="BS312" s="125"/>
      <c r="BT312" s="125"/>
      <c r="BU312" s="125"/>
    </row>
    <row r="313" spans="15:73"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  <c r="BM313" s="125"/>
      <c r="BN313" s="125"/>
      <c r="BO313" s="125"/>
      <c r="BP313" s="125"/>
      <c r="BQ313" s="125"/>
      <c r="BR313" s="125"/>
      <c r="BS313" s="125"/>
      <c r="BT313" s="125"/>
      <c r="BU313" s="125"/>
    </row>
    <row r="314" spans="15:73"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  <c r="BE314" s="125"/>
      <c r="BF314" s="125"/>
      <c r="BG314" s="125"/>
      <c r="BH314" s="125"/>
      <c r="BI314" s="125"/>
      <c r="BJ314" s="125"/>
      <c r="BK314" s="125"/>
      <c r="BL314" s="125"/>
      <c r="BM314" s="125"/>
      <c r="BN314" s="125"/>
      <c r="BO314" s="125"/>
      <c r="BP314" s="125"/>
      <c r="BQ314" s="125"/>
      <c r="BR314" s="125"/>
      <c r="BS314" s="125"/>
      <c r="BT314" s="125"/>
      <c r="BU314" s="125"/>
    </row>
    <row r="315" spans="15:73"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/>
      <c r="BE315" s="125"/>
      <c r="BF315" s="125"/>
      <c r="BG315" s="125"/>
      <c r="BH315" s="125"/>
      <c r="BI315" s="125"/>
      <c r="BJ315" s="125"/>
      <c r="BK315" s="125"/>
      <c r="BL315" s="125"/>
      <c r="BM315" s="125"/>
      <c r="BN315" s="125"/>
      <c r="BO315" s="125"/>
      <c r="BP315" s="125"/>
      <c r="BQ315" s="125"/>
      <c r="BR315" s="125"/>
      <c r="BS315" s="125"/>
      <c r="BT315" s="125"/>
      <c r="BU315" s="125"/>
    </row>
    <row r="316" spans="15:73"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/>
      <c r="BE316" s="125"/>
      <c r="BF316" s="125"/>
      <c r="BG316" s="125"/>
      <c r="BH316" s="125"/>
      <c r="BI316" s="125"/>
      <c r="BJ316" s="125"/>
      <c r="BK316" s="125"/>
      <c r="BL316" s="125"/>
      <c r="BM316" s="125"/>
      <c r="BN316" s="125"/>
      <c r="BO316" s="125"/>
      <c r="BP316" s="125"/>
      <c r="BQ316" s="125"/>
      <c r="BR316" s="125"/>
      <c r="BS316" s="125"/>
      <c r="BT316" s="125"/>
      <c r="BU316" s="125"/>
    </row>
    <row r="317" spans="15:73"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/>
      <c r="BE317" s="125"/>
      <c r="BF317" s="125"/>
      <c r="BG317" s="125"/>
      <c r="BH317" s="125"/>
      <c r="BI317" s="125"/>
      <c r="BJ317" s="125"/>
      <c r="BK317" s="125"/>
      <c r="BL317" s="125"/>
      <c r="BM317" s="125"/>
      <c r="BN317" s="125"/>
      <c r="BO317" s="125"/>
      <c r="BP317" s="125"/>
      <c r="BQ317" s="125"/>
      <c r="BR317" s="125"/>
      <c r="BS317" s="125"/>
      <c r="BT317" s="125"/>
      <c r="BU317" s="125"/>
    </row>
    <row r="318" spans="15:73"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125"/>
      <c r="BF318" s="125"/>
      <c r="BG318" s="125"/>
      <c r="BH318" s="125"/>
      <c r="BI318" s="125"/>
      <c r="BJ318" s="125"/>
      <c r="BK318" s="125"/>
      <c r="BL318" s="125"/>
      <c r="BM318" s="125"/>
      <c r="BN318" s="125"/>
      <c r="BO318" s="125"/>
      <c r="BP318" s="125"/>
      <c r="BQ318" s="125"/>
      <c r="BR318" s="125"/>
      <c r="BS318" s="125"/>
      <c r="BT318" s="125"/>
      <c r="BU318" s="125"/>
    </row>
    <row r="319" spans="15:73"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  <c r="BM319" s="125"/>
      <c r="BN319" s="125"/>
      <c r="BO319" s="125"/>
      <c r="BP319" s="125"/>
      <c r="BQ319" s="125"/>
      <c r="BR319" s="125"/>
      <c r="BS319" s="125"/>
      <c r="BT319" s="125"/>
      <c r="BU319" s="125"/>
    </row>
    <row r="320" spans="15:73"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125"/>
      <c r="BF320" s="125"/>
      <c r="BG320" s="125"/>
      <c r="BH320" s="125"/>
      <c r="BI320" s="125"/>
      <c r="BJ320" s="125"/>
      <c r="BK320" s="125"/>
      <c r="BL320" s="125"/>
      <c r="BM320" s="125"/>
      <c r="BN320" s="125"/>
      <c r="BO320" s="125"/>
      <c r="BP320" s="125"/>
      <c r="BQ320" s="125"/>
      <c r="BR320" s="125"/>
      <c r="BS320" s="125"/>
      <c r="BT320" s="125"/>
      <c r="BU320" s="125"/>
    </row>
    <row r="321" spans="15:73"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125"/>
      <c r="BF321" s="125"/>
      <c r="BG321" s="125"/>
      <c r="BH321" s="125"/>
      <c r="BI321" s="125"/>
      <c r="BJ321" s="125"/>
      <c r="BK321" s="125"/>
      <c r="BL321" s="125"/>
      <c r="BM321" s="125"/>
      <c r="BN321" s="125"/>
      <c r="BO321" s="125"/>
      <c r="BP321" s="125"/>
      <c r="BQ321" s="125"/>
      <c r="BR321" s="125"/>
      <c r="BS321" s="125"/>
      <c r="BT321" s="125"/>
      <c r="BU321" s="125"/>
    </row>
    <row r="322" spans="15:73"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  <c r="BE322" s="125"/>
      <c r="BF322" s="125"/>
      <c r="BG322" s="125"/>
      <c r="BH322" s="125"/>
      <c r="BI322" s="125"/>
      <c r="BJ322" s="125"/>
      <c r="BK322" s="125"/>
      <c r="BL322" s="125"/>
      <c r="BM322" s="125"/>
      <c r="BN322" s="125"/>
      <c r="BO322" s="125"/>
      <c r="BP322" s="125"/>
      <c r="BQ322" s="125"/>
      <c r="BR322" s="125"/>
      <c r="BS322" s="125"/>
      <c r="BT322" s="125"/>
      <c r="BU322" s="125"/>
    </row>
    <row r="323" spans="15:73"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  <c r="BE323" s="125"/>
      <c r="BF323" s="125"/>
      <c r="BG323" s="125"/>
      <c r="BH323" s="125"/>
      <c r="BI323" s="125"/>
      <c r="BJ323" s="125"/>
      <c r="BK323" s="125"/>
      <c r="BL323" s="125"/>
      <c r="BM323" s="125"/>
      <c r="BN323" s="125"/>
      <c r="BO323" s="125"/>
      <c r="BP323" s="125"/>
      <c r="BQ323" s="125"/>
      <c r="BR323" s="125"/>
      <c r="BS323" s="125"/>
      <c r="BT323" s="125"/>
      <c r="BU323" s="125"/>
    </row>
    <row r="324" spans="15:73"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X324" s="125"/>
      <c r="AY324" s="125"/>
      <c r="AZ324" s="125"/>
      <c r="BA324" s="125"/>
      <c r="BB324" s="125"/>
      <c r="BC324" s="125"/>
      <c r="BD324" s="125"/>
      <c r="BE324" s="125"/>
      <c r="BF324" s="125"/>
      <c r="BG324" s="125"/>
      <c r="BH324" s="125"/>
      <c r="BI324" s="125"/>
      <c r="BJ324" s="125"/>
      <c r="BK324" s="125"/>
      <c r="BL324" s="125"/>
      <c r="BM324" s="125"/>
      <c r="BN324" s="125"/>
      <c r="BO324" s="125"/>
      <c r="BP324" s="125"/>
      <c r="BQ324" s="125"/>
      <c r="BR324" s="125"/>
      <c r="BS324" s="125"/>
      <c r="BT324" s="125"/>
      <c r="BU324" s="125"/>
    </row>
    <row r="325" spans="15:73"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X325" s="125"/>
      <c r="AY325" s="125"/>
      <c r="AZ325" s="125"/>
      <c r="BA325" s="125"/>
      <c r="BB325" s="125"/>
      <c r="BC325" s="125"/>
      <c r="BD325" s="125"/>
      <c r="BE325" s="125"/>
      <c r="BF325" s="125"/>
      <c r="BG325" s="125"/>
      <c r="BH325" s="125"/>
      <c r="BI325" s="125"/>
      <c r="BJ325" s="125"/>
      <c r="BK325" s="125"/>
      <c r="BL325" s="125"/>
      <c r="BM325" s="125"/>
      <c r="BN325" s="125"/>
      <c r="BO325" s="125"/>
      <c r="BP325" s="125"/>
      <c r="BQ325" s="125"/>
      <c r="BR325" s="125"/>
      <c r="BS325" s="125"/>
      <c r="BT325" s="125"/>
      <c r="BU325" s="125"/>
    </row>
    <row r="326" spans="15:73"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/>
      <c r="BE326" s="125"/>
      <c r="BF326" s="125"/>
      <c r="BG326" s="125"/>
      <c r="BH326" s="125"/>
      <c r="BI326" s="125"/>
      <c r="BJ326" s="125"/>
      <c r="BK326" s="125"/>
      <c r="BL326" s="125"/>
      <c r="BM326" s="125"/>
      <c r="BN326" s="125"/>
      <c r="BO326" s="125"/>
      <c r="BP326" s="125"/>
      <c r="BQ326" s="125"/>
      <c r="BR326" s="125"/>
      <c r="BS326" s="125"/>
      <c r="BT326" s="125"/>
      <c r="BU326" s="125"/>
    </row>
    <row r="327" spans="15:73"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  <c r="BM327" s="125"/>
      <c r="BN327" s="125"/>
      <c r="BO327" s="125"/>
      <c r="BP327" s="125"/>
      <c r="BQ327" s="125"/>
      <c r="BR327" s="125"/>
      <c r="BS327" s="125"/>
      <c r="BT327" s="125"/>
      <c r="BU327" s="125"/>
    </row>
    <row r="328" spans="15:73"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  <c r="BE328" s="125"/>
      <c r="BF328" s="125"/>
      <c r="BG328" s="125"/>
      <c r="BH328" s="125"/>
      <c r="BI328" s="125"/>
      <c r="BJ328" s="125"/>
      <c r="BK328" s="125"/>
      <c r="BL328" s="125"/>
      <c r="BM328" s="125"/>
      <c r="BN328" s="125"/>
      <c r="BO328" s="125"/>
      <c r="BP328" s="125"/>
      <c r="BQ328" s="125"/>
      <c r="BR328" s="125"/>
      <c r="BS328" s="125"/>
      <c r="BT328" s="125"/>
      <c r="BU328" s="125"/>
    </row>
    <row r="329" spans="15:73"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  <c r="BE329" s="125"/>
      <c r="BF329" s="125"/>
      <c r="BG329" s="125"/>
      <c r="BH329" s="125"/>
      <c r="BI329" s="125"/>
      <c r="BJ329" s="125"/>
      <c r="BK329" s="125"/>
      <c r="BL329" s="125"/>
      <c r="BM329" s="125"/>
      <c r="BN329" s="125"/>
      <c r="BO329" s="125"/>
      <c r="BP329" s="125"/>
      <c r="BQ329" s="125"/>
      <c r="BR329" s="125"/>
      <c r="BS329" s="125"/>
      <c r="BT329" s="125"/>
      <c r="BU329" s="125"/>
    </row>
    <row r="330" spans="15:73"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  <c r="BM330" s="125"/>
      <c r="BN330" s="125"/>
      <c r="BO330" s="125"/>
      <c r="BP330" s="125"/>
      <c r="BQ330" s="125"/>
      <c r="BR330" s="125"/>
      <c r="BS330" s="125"/>
      <c r="BT330" s="125"/>
      <c r="BU330" s="125"/>
    </row>
    <row r="331" spans="15:73"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  <c r="BE331" s="125"/>
      <c r="BF331" s="125"/>
      <c r="BG331" s="125"/>
      <c r="BH331" s="125"/>
      <c r="BI331" s="125"/>
      <c r="BJ331" s="125"/>
      <c r="BK331" s="125"/>
      <c r="BL331" s="125"/>
      <c r="BM331" s="125"/>
      <c r="BN331" s="125"/>
      <c r="BO331" s="125"/>
      <c r="BP331" s="125"/>
      <c r="BQ331" s="125"/>
      <c r="BR331" s="125"/>
      <c r="BS331" s="125"/>
      <c r="BT331" s="125"/>
      <c r="BU331" s="125"/>
    </row>
    <row r="332" spans="15:73"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  <c r="BE332" s="125"/>
      <c r="BF332" s="125"/>
      <c r="BG332" s="125"/>
      <c r="BH332" s="125"/>
      <c r="BI332" s="125"/>
      <c r="BJ332" s="125"/>
      <c r="BK332" s="125"/>
      <c r="BL332" s="125"/>
      <c r="BM332" s="125"/>
      <c r="BN332" s="125"/>
      <c r="BO332" s="125"/>
      <c r="BP332" s="125"/>
      <c r="BQ332" s="125"/>
      <c r="BR332" s="125"/>
      <c r="BS332" s="125"/>
      <c r="BT332" s="125"/>
      <c r="BU332" s="125"/>
    </row>
    <row r="333" spans="15:73"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X333" s="125"/>
      <c r="AY333" s="125"/>
      <c r="AZ333" s="125"/>
      <c r="BA333" s="125"/>
      <c r="BB333" s="125"/>
      <c r="BC333" s="125"/>
      <c r="BD333" s="125"/>
      <c r="BE333" s="125"/>
      <c r="BF333" s="125"/>
      <c r="BG333" s="125"/>
      <c r="BH333" s="125"/>
      <c r="BI333" s="125"/>
      <c r="BJ333" s="125"/>
      <c r="BK333" s="125"/>
      <c r="BL333" s="125"/>
      <c r="BM333" s="125"/>
      <c r="BN333" s="125"/>
      <c r="BO333" s="125"/>
      <c r="BP333" s="125"/>
      <c r="BQ333" s="125"/>
      <c r="BR333" s="125"/>
      <c r="BS333" s="125"/>
      <c r="BT333" s="125"/>
      <c r="BU333" s="125"/>
    </row>
    <row r="334" spans="15:73"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X334" s="125"/>
      <c r="AY334" s="125"/>
      <c r="AZ334" s="125"/>
      <c r="BA334" s="125"/>
      <c r="BB334" s="125"/>
      <c r="BC334" s="125"/>
      <c r="BD334" s="125"/>
      <c r="BE334" s="125"/>
      <c r="BF334" s="125"/>
      <c r="BG334" s="125"/>
      <c r="BH334" s="125"/>
      <c r="BI334" s="125"/>
      <c r="BJ334" s="125"/>
      <c r="BK334" s="125"/>
      <c r="BL334" s="125"/>
      <c r="BM334" s="125"/>
      <c r="BN334" s="125"/>
      <c r="BO334" s="125"/>
      <c r="BP334" s="125"/>
      <c r="BQ334" s="125"/>
      <c r="BR334" s="125"/>
      <c r="BS334" s="125"/>
      <c r="BT334" s="125"/>
      <c r="BU334" s="125"/>
    </row>
    <row r="335" spans="15:73"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/>
      <c r="BE335" s="125"/>
      <c r="BF335" s="125"/>
      <c r="BG335" s="125"/>
      <c r="BH335" s="125"/>
      <c r="BI335" s="125"/>
      <c r="BJ335" s="125"/>
      <c r="BK335" s="125"/>
      <c r="BL335" s="125"/>
      <c r="BM335" s="125"/>
      <c r="BN335" s="125"/>
      <c r="BO335" s="125"/>
      <c r="BP335" s="125"/>
      <c r="BQ335" s="125"/>
      <c r="BR335" s="125"/>
      <c r="BS335" s="125"/>
      <c r="BT335" s="125"/>
      <c r="BU335" s="125"/>
    </row>
    <row r="336" spans="15:73"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/>
      <c r="BE336" s="125"/>
      <c r="BF336" s="125"/>
      <c r="BG336" s="125"/>
      <c r="BH336" s="125"/>
      <c r="BI336" s="125"/>
      <c r="BJ336" s="125"/>
      <c r="BK336" s="125"/>
      <c r="BL336" s="125"/>
      <c r="BM336" s="125"/>
      <c r="BN336" s="125"/>
      <c r="BO336" s="125"/>
      <c r="BP336" s="125"/>
      <c r="BQ336" s="125"/>
      <c r="BR336" s="125"/>
      <c r="BS336" s="125"/>
      <c r="BT336" s="125"/>
      <c r="BU336" s="125"/>
    </row>
    <row r="337" spans="15:73"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  <c r="BE337" s="125"/>
      <c r="BF337" s="125"/>
      <c r="BG337" s="125"/>
      <c r="BH337" s="125"/>
      <c r="BI337" s="125"/>
      <c r="BJ337" s="125"/>
      <c r="BK337" s="125"/>
      <c r="BL337" s="125"/>
      <c r="BM337" s="125"/>
      <c r="BN337" s="125"/>
      <c r="BO337" s="125"/>
      <c r="BP337" s="125"/>
      <c r="BQ337" s="125"/>
      <c r="BR337" s="125"/>
      <c r="BS337" s="125"/>
      <c r="BT337" s="125"/>
      <c r="BU337" s="125"/>
    </row>
    <row r="338" spans="15:73"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  <c r="BE338" s="125"/>
      <c r="BF338" s="125"/>
      <c r="BG338" s="125"/>
      <c r="BH338" s="125"/>
      <c r="BI338" s="125"/>
      <c r="BJ338" s="125"/>
      <c r="BK338" s="125"/>
      <c r="BL338" s="125"/>
      <c r="BM338" s="125"/>
      <c r="BN338" s="125"/>
      <c r="BO338" s="125"/>
      <c r="BP338" s="125"/>
      <c r="BQ338" s="125"/>
      <c r="BR338" s="125"/>
      <c r="BS338" s="125"/>
      <c r="BT338" s="125"/>
      <c r="BU338" s="125"/>
    </row>
    <row r="339" spans="15:73"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  <c r="BM339" s="125"/>
      <c r="BN339" s="125"/>
      <c r="BO339" s="125"/>
      <c r="BP339" s="125"/>
      <c r="BQ339" s="125"/>
      <c r="BR339" s="125"/>
      <c r="BS339" s="125"/>
      <c r="BT339" s="125"/>
      <c r="BU339" s="125"/>
    </row>
    <row r="340" spans="15:73"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  <c r="BE340" s="125"/>
      <c r="BF340" s="125"/>
      <c r="BG340" s="125"/>
      <c r="BH340" s="125"/>
      <c r="BI340" s="125"/>
      <c r="BJ340" s="125"/>
      <c r="BK340" s="125"/>
      <c r="BL340" s="125"/>
      <c r="BM340" s="125"/>
      <c r="BN340" s="125"/>
      <c r="BO340" s="125"/>
      <c r="BP340" s="125"/>
      <c r="BQ340" s="125"/>
      <c r="BR340" s="125"/>
      <c r="BS340" s="125"/>
      <c r="BT340" s="125"/>
      <c r="BU340" s="125"/>
    </row>
    <row r="341" spans="15:73"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  <c r="BE341" s="125"/>
      <c r="BF341" s="125"/>
      <c r="BG341" s="125"/>
      <c r="BH341" s="125"/>
      <c r="BI341" s="125"/>
      <c r="BJ341" s="125"/>
      <c r="BK341" s="125"/>
      <c r="BL341" s="125"/>
      <c r="BM341" s="125"/>
      <c r="BN341" s="125"/>
      <c r="BO341" s="125"/>
      <c r="BP341" s="125"/>
      <c r="BQ341" s="125"/>
      <c r="BR341" s="125"/>
      <c r="BS341" s="125"/>
      <c r="BT341" s="125"/>
      <c r="BU341" s="125"/>
    </row>
    <row r="342" spans="15:73"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  <c r="BM342" s="125"/>
      <c r="BN342" s="125"/>
      <c r="BO342" s="125"/>
      <c r="BP342" s="125"/>
      <c r="BQ342" s="125"/>
      <c r="BR342" s="125"/>
      <c r="BS342" s="125"/>
      <c r="BT342" s="125"/>
      <c r="BU342" s="125"/>
    </row>
    <row r="343" spans="15:73"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/>
      <c r="BE343" s="125"/>
      <c r="BF343" s="125"/>
      <c r="BG343" s="125"/>
      <c r="BH343" s="125"/>
      <c r="BI343" s="125"/>
      <c r="BJ343" s="125"/>
      <c r="BK343" s="125"/>
      <c r="BL343" s="125"/>
      <c r="BM343" s="125"/>
      <c r="BN343" s="125"/>
      <c r="BO343" s="125"/>
      <c r="BP343" s="125"/>
      <c r="BQ343" s="125"/>
      <c r="BR343" s="125"/>
      <c r="BS343" s="125"/>
      <c r="BT343" s="125"/>
      <c r="BU343" s="125"/>
    </row>
    <row r="344" spans="15:73"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/>
      <c r="BE344" s="125"/>
      <c r="BF344" s="125"/>
      <c r="BG344" s="125"/>
      <c r="BH344" s="125"/>
      <c r="BI344" s="125"/>
      <c r="BJ344" s="125"/>
      <c r="BK344" s="125"/>
      <c r="BL344" s="125"/>
      <c r="BM344" s="125"/>
      <c r="BN344" s="125"/>
      <c r="BO344" s="125"/>
      <c r="BP344" s="125"/>
      <c r="BQ344" s="125"/>
      <c r="BR344" s="125"/>
      <c r="BS344" s="125"/>
      <c r="BT344" s="125"/>
      <c r="BU344" s="125"/>
    </row>
    <row r="345" spans="15:73"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X345" s="125"/>
      <c r="AY345" s="125"/>
      <c r="AZ345" s="125"/>
      <c r="BA345" s="125"/>
      <c r="BB345" s="125"/>
      <c r="BC345" s="125"/>
      <c r="BD345" s="125"/>
      <c r="BE345" s="125"/>
      <c r="BF345" s="125"/>
      <c r="BG345" s="125"/>
      <c r="BH345" s="125"/>
      <c r="BI345" s="125"/>
      <c r="BJ345" s="125"/>
      <c r="BK345" s="125"/>
      <c r="BL345" s="125"/>
      <c r="BM345" s="125"/>
      <c r="BN345" s="125"/>
      <c r="BO345" s="125"/>
      <c r="BP345" s="125"/>
      <c r="BQ345" s="125"/>
      <c r="BR345" s="125"/>
      <c r="BS345" s="125"/>
      <c r="BT345" s="125"/>
      <c r="BU345" s="125"/>
    </row>
    <row r="346" spans="15:73"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  <c r="BE346" s="125"/>
      <c r="BF346" s="125"/>
      <c r="BG346" s="125"/>
      <c r="BH346" s="125"/>
      <c r="BI346" s="125"/>
      <c r="BJ346" s="125"/>
      <c r="BK346" s="125"/>
      <c r="BL346" s="125"/>
      <c r="BM346" s="125"/>
      <c r="BN346" s="125"/>
      <c r="BO346" s="125"/>
      <c r="BP346" s="125"/>
      <c r="BQ346" s="125"/>
      <c r="BR346" s="125"/>
      <c r="BS346" s="125"/>
      <c r="BT346" s="125"/>
      <c r="BU346" s="125"/>
    </row>
    <row r="347" spans="15:73"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  <c r="BE347" s="125"/>
      <c r="BF347" s="125"/>
      <c r="BG347" s="125"/>
      <c r="BH347" s="125"/>
      <c r="BI347" s="125"/>
      <c r="BJ347" s="125"/>
      <c r="BK347" s="125"/>
      <c r="BL347" s="125"/>
      <c r="BM347" s="125"/>
      <c r="BN347" s="125"/>
      <c r="BO347" s="125"/>
      <c r="BP347" s="125"/>
      <c r="BQ347" s="125"/>
      <c r="BR347" s="125"/>
      <c r="BS347" s="125"/>
      <c r="BT347" s="125"/>
      <c r="BU347" s="125"/>
    </row>
    <row r="348" spans="15:73"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  <c r="BE348" s="125"/>
      <c r="BF348" s="125"/>
      <c r="BG348" s="125"/>
      <c r="BH348" s="125"/>
      <c r="BI348" s="125"/>
      <c r="BJ348" s="125"/>
      <c r="BK348" s="125"/>
      <c r="BL348" s="125"/>
      <c r="BM348" s="125"/>
      <c r="BN348" s="125"/>
      <c r="BO348" s="125"/>
      <c r="BP348" s="125"/>
      <c r="BQ348" s="125"/>
      <c r="BR348" s="125"/>
      <c r="BS348" s="125"/>
      <c r="BT348" s="125"/>
      <c r="BU348" s="125"/>
    </row>
    <row r="349" spans="15:73"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  <c r="BE349" s="125"/>
      <c r="BF349" s="125"/>
      <c r="BG349" s="125"/>
      <c r="BH349" s="125"/>
      <c r="BI349" s="125"/>
      <c r="BJ349" s="125"/>
      <c r="BK349" s="125"/>
      <c r="BL349" s="125"/>
      <c r="BM349" s="125"/>
      <c r="BN349" s="125"/>
      <c r="BO349" s="125"/>
      <c r="BP349" s="125"/>
      <c r="BQ349" s="125"/>
      <c r="BR349" s="125"/>
      <c r="BS349" s="125"/>
      <c r="BT349" s="125"/>
      <c r="BU349" s="125"/>
    </row>
    <row r="350" spans="15:73"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  <c r="BE350" s="125"/>
      <c r="BF350" s="125"/>
      <c r="BG350" s="125"/>
      <c r="BH350" s="125"/>
      <c r="BI350" s="125"/>
      <c r="BJ350" s="125"/>
      <c r="BK350" s="125"/>
      <c r="BL350" s="125"/>
      <c r="BM350" s="125"/>
      <c r="BN350" s="125"/>
      <c r="BO350" s="125"/>
      <c r="BP350" s="125"/>
      <c r="BQ350" s="125"/>
      <c r="BR350" s="125"/>
      <c r="BS350" s="125"/>
      <c r="BT350" s="125"/>
      <c r="BU350" s="125"/>
    </row>
    <row r="351" spans="15:73"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  <c r="BE351" s="125"/>
      <c r="BF351" s="125"/>
      <c r="BG351" s="125"/>
      <c r="BH351" s="125"/>
      <c r="BI351" s="125"/>
      <c r="BJ351" s="125"/>
      <c r="BK351" s="125"/>
      <c r="BL351" s="125"/>
      <c r="BM351" s="125"/>
      <c r="BN351" s="125"/>
      <c r="BO351" s="125"/>
      <c r="BP351" s="125"/>
      <c r="BQ351" s="125"/>
      <c r="BR351" s="125"/>
      <c r="BS351" s="125"/>
      <c r="BT351" s="125"/>
      <c r="BU351" s="125"/>
    </row>
    <row r="352" spans="15:73"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X352" s="125"/>
      <c r="AY352" s="125"/>
      <c r="AZ352" s="125"/>
      <c r="BA352" s="125"/>
      <c r="BB352" s="125"/>
      <c r="BC352" s="125"/>
      <c r="BD352" s="125"/>
      <c r="BE352" s="125"/>
      <c r="BF352" s="125"/>
      <c r="BG352" s="125"/>
      <c r="BH352" s="125"/>
      <c r="BI352" s="125"/>
      <c r="BJ352" s="125"/>
      <c r="BK352" s="125"/>
      <c r="BL352" s="125"/>
      <c r="BM352" s="125"/>
      <c r="BN352" s="125"/>
      <c r="BO352" s="125"/>
      <c r="BP352" s="125"/>
      <c r="BQ352" s="125"/>
      <c r="BR352" s="125"/>
      <c r="BS352" s="125"/>
      <c r="BT352" s="125"/>
      <c r="BU352" s="125"/>
    </row>
    <row r="353" spans="15:73"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/>
      <c r="BE353" s="125"/>
      <c r="BF353" s="125"/>
      <c r="BG353" s="125"/>
      <c r="BH353" s="125"/>
      <c r="BI353" s="125"/>
      <c r="BJ353" s="125"/>
      <c r="BK353" s="125"/>
      <c r="BL353" s="125"/>
      <c r="BM353" s="125"/>
      <c r="BN353" s="125"/>
      <c r="BO353" s="125"/>
      <c r="BP353" s="125"/>
      <c r="BQ353" s="125"/>
      <c r="BR353" s="125"/>
      <c r="BS353" s="125"/>
      <c r="BT353" s="125"/>
      <c r="BU353" s="125"/>
    </row>
    <row r="354" spans="15:73"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/>
      <c r="BE354" s="125"/>
      <c r="BF354" s="125"/>
      <c r="BG354" s="125"/>
      <c r="BH354" s="125"/>
      <c r="BI354" s="125"/>
      <c r="BJ354" s="125"/>
      <c r="BK354" s="125"/>
      <c r="BL354" s="125"/>
      <c r="BM354" s="125"/>
      <c r="BN354" s="125"/>
      <c r="BO354" s="125"/>
      <c r="BP354" s="125"/>
      <c r="BQ354" s="125"/>
      <c r="BR354" s="125"/>
      <c r="BS354" s="125"/>
      <c r="BT354" s="125"/>
      <c r="BU354" s="125"/>
    </row>
    <row r="355" spans="15:73"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X355" s="125"/>
      <c r="AY355" s="125"/>
      <c r="AZ355" s="125"/>
      <c r="BA355" s="125"/>
      <c r="BB355" s="125"/>
      <c r="BC355" s="125"/>
      <c r="BD355" s="125"/>
      <c r="BE355" s="125"/>
      <c r="BF355" s="125"/>
      <c r="BG355" s="125"/>
      <c r="BH355" s="125"/>
      <c r="BI355" s="125"/>
      <c r="BJ355" s="125"/>
      <c r="BK355" s="125"/>
      <c r="BL355" s="125"/>
      <c r="BM355" s="125"/>
      <c r="BN355" s="125"/>
      <c r="BO355" s="125"/>
      <c r="BP355" s="125"/>
      <c r="BQ355" s="125"/>
      <c r="BR355" s="125"/>
      <c r="BS355" s="125"/>
      <c r="BT355" s="125"/>
      <c r="BU355" s="125"/>
    </row>
    <row r="356" spans="15:73"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/>
      <c r="BE356" s="125"/>
      <c r="BF356" s="125"/>
      <c r="BG356" s="125"/>
      <c r="BH356" s="125"/>
      <c r="BI356" s="125"/>
      <c r="BJ356" s="125"/>
      <c r="BK356" s="125"/>
      <c r="BL356" s="125"/>
      <c r="BM356" s="125"/>
      <c r="BN356" s="125"/>
      <c r="BO356" s="125"/>
      <c r="BP356" s="125"/>
      <c r="BQ356" s="125"/>
      <c r="BR356" s="125"/>
      <c r="BS356" s="125"/>
      <c r="BT356" s="125"/>
      <c r="BU356" s="125"/>
    </row>
    <row r="357" spans="15:73"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/>
      <c r="BE357" s="125"/>
      <c r="BF357" s="125"/>
      <c r="BG357" s="125"/>
      <c r="BH357" s="125"/>
      <c r="BI357" s="125"/>
      <c r="BJ357" s="125"/>
      <c r="BK357" s="125"/>
      <c r="BL357" s="125"/>
      <c r="BM357" s="125"/>
      <c r="BN357" s="125"/>
      <c r="BO357" s="125"/>
      <c r="BP357" s="125"/>
      <c r="BQ357" s="125"/>
      <c r="BR357" s="125"/>
      <c r="BS357" s="125"/>
      <c r="BT357" s="125"/>
      <c r="BU357" s="125"/>
    </row>
    <row r="358" spans="15:73"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/>
      <c r="BE358" s="125"/>
      <c r="BF358" s="125"/>
      <c r="BG358" s="125"/>
      <c r="BH358" s="125"/>
      <c r="BI358" s="125"/>
      <c r="BJ358" s="125"/>
      <c r="BK358" s="125"/>
      <c r="BL358" s="125"/>
      <c r="BM358" s="125"/>
      <c r="BN358" s="125"/>
      <c r="BO358" s="125"/>
      <c r="BP358" s="125"/>
      <c r="BQ358" s="125"/>
      <c r="BR358" s="125"/>
      <c r="BS358" s="125"/>
      <c r="BT358" s="125"/>
      <c r="BU358" s="125"/>
    </row>
    <row r="359" spans="15:73"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/>
      <c r="BE359" s="125"/>
      <c r="BF359" s="125"/>
      <c r="BG359" s="125"/>
      <c r="BH359" s="125"/>
      <c r="BI359" s="125"/>
      <c r="BJ359" s="125"/>
      <c r="BK359" s="125"/>
      <c r="BL359" s="125"/>
      <c r="BM359" s="125"/>
      <c r="BN359" s="125"/>
      <c r="BO359" s="125"/>
      <c r="BP359" s="125"/>
      <c r="BQ359" s="125"/>
      <c r="BR359" s="125"/>
      <c r="BS359" s="125"/>
      <c r="BT359" s="125"/>
      <c r="BU359" s="125"/>
    </row>
    <row r="360" spans="15:73"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/>
      <c r="BE360" s="125"/>
      <c r="BF360" s="125"/>
      <c r="BG360" s="125"/>
      <c r="BH360" s="125"/>
      <c r="BI360" s="125"/>
      <c r="BJ360" s="125"/>
      <c r="BK360" s="125"/>
      <c r="BL360" s="125"/>
      <c r="BM360" s="125"/>
      <c r="BN360" s="125"/>
      <c r="BO360" s="125"/>
      <c r="BP360" s="125"/>
      <c r="BQ360" s="125"/>
      <c r="BR360" s="125"/>
      <c r="BS360" s="125"/>
      <c r="BT360" s="125"/>
      <c r="BU360" s="125"/>
    </row>
    <row r="361" spans="15:73"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125"/>
      <c r="BA361" s="125"/>
      <c r="BB361" s="125"/>
      <c r="BC361" s="125"/>
      <c r="BD361" s="125"/>
      <c r="BE361" s="125"/>
      <c r="BF361" s="125"/>
      <c r="BG361" s="125"/>
      <c r="BH361" s="125"/>
      <c r="BI361" s="125"/>
      <c r="BJ361" s="125"/>
      <c r="BK361" s="125"/>
      <c r="BL361" s="125"/>
      <c r="BM361" s="125"/>
      <c r="BN361" s="125"/>
      <c r="BO361" s="125"/>
      <c r="BP361" s="125"/>
      <c r="BQ361" s="125"/>
      <c r="BR361" s="125"/>
      <c r="BS361" s="125"/>
      <c r="BT361" s="125"/>
      <c r="BU361" s="125"/>
    </row>
    <row r="362" spans="15:73"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X362" s="125"/>
      <c r="AY362" s="125"/>
      <c r="AZ362" s="125"/>
      <c r="BA362" s="125"/>
      <c r="BB362" s="125"/>
      <c r="BC362" s="125"/>
      <c r="BD362" s="125"/>
      <c r="BE362" s="125"/>
      <c r="BF362" s="125"/>
      <c r="BG362" s="125"/>
      <c r="BH362" s="125"/>
      <c r="BI362" s="125"/>
      <c r="BJ362" s="125"/>
      <c r="BK362" s="125"/>
      <c r="BL362" s="125"/>
      <c r="BM362" s="125"/>
      <c r="BN362" s="125"/>
      <c r="BO362" s="125"/>
      <c r="BP362" s="125"/>
      <c r="BQ362" s="125"/>
      <c r="BR362" s="125"/>
      <c r="BS362" s="125"/>
      <c r="BT362" s="125"/>
      <c r="BU362" s="125"/>
    </row>
    <row r="363" spans="15:73"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/>
      <c r="BE363" s="125"/>
      <c r="BF363" s="125"/>
      <c r="BG363" s="125"/>
      <c r="BH363" s="125"/>
      <c r="BI363" s="125"/>
      <c r="BJ363" s="125"/>
      <c r="BK363" s="125"/>
      <c r="BL363" s="125"/>
      <c r="BM363" s="125"/>
      <c r="BN363" s="125"/>
      <c r="BO363" s="125"/>
      <c r="BP363" s="125"/>
      <c r="BQ363" s="125"/>
      <c r="BR363" s="125"/>
      <c r="BS363" s="125"/>
      <c r="BT363" s="125"/>
      <c r="BU363" s="125"/>
    </row>
    <row r="364" spans="15:73"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/>
      <c r="BE364" s="125"/>
      <c r="BF364" s="125"/>
      <c r="BG364" s="125"/>
      <c r="BH364" s="125"/>
      <c r="BI364" s="125"/>
      <c r="BJ364" s="125"/>
      <c r="BK364" s="125"/>
      <c r="BL364" s="125"/>
      <c r="BM364" s="125"/>
      <c r="BN364" s="125"/>
      <c r="BO364" s="125"/>
      <c r="BP364" s="125"/>
      <c r="BQ364" s="125"/>
      <c r="BR364" s="125"/>
      <c r="BS364" s="125"/>
      <c r="BT364" s="125"/>
      <c r="BU364" s="125"/>
    </row>
    <row r="365" spans="15:73"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/>
      <c r="BE365" s="125"/>
      <c r="BF365" s="125"/>
      <c r="BG365" s="125"/>
      <c r="BH365" s="125"/>
      <c r="BI365" s="125"/>
      <c r="BJ365" s="125"/>
      <c r="BK365" s="125"/>
      <c r="BL365" s="125"/>
      <c r="BM365" s="125"/>
      <c r="BN365" s="125"/>
      <c r="BO365" s="125"/>
      <c r="BP365" s="125"/>
      <c r="BQ365" s="125"/>
      <c r="BR365" s="125"/>
      <c r="BS365" s="125"/>
      <c r="BT365" s="125"/>
      <c r="BU365" s="125"/>
    </row>
    <row r="366" spans="15:73"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/>
      <c r="BE366" s="125"/>
      <c r="BF366" s="125"/>
      <c r="BG366" s="125"/>
      <c r="BH366" s="125"/>
      <c r="BI366" s="125"/>
      <c r="BJ366" s="125"/>
      <c r="BK366" s="125"/>
      <c r="BL366" s="125"/>
      <c r="BM366" s="125"/>
      <c r="BN366" s="125"/>
      <c r="BO366" s="125"/>
      <c r="BP366" s="125"/>
      <c r="BQ366" s="125"/>
      <c r="BR366" s="125"/>
      <c r="BS366" s="125"/>
      <c r="BT366" s="125"/>
      <c r="BU366" s="125"/>
    </row>
    <row r="367" spans="15:73"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/>
      <c r="BE367" s="125"/>
      <c r="BF367" s="125"/>
      <c r="BG367" s="125"/>
      <c r="BH367" s="125"/>
      <c r="BI367" s="125"/>
      <c r="BJ367" s="125"/>
      <c r="BK367" s="125"/>
      <c r="BL367" s="125"/>
      <c r="BM367" s="125"/>
      <c r="BN367" s="125"/>
      <c r="BO367" s="125"/>
      <c r="BP367" s="125"/>
      <c r="BQ367" s="125"/>
      <c r="BR367" s="125"/>
      <c r="BS367" s="125"/>
      <c r="BT367" s="125"/>
      <c r="BU367" s="125"/>
    </row>
    <row r="368" spans="15:73"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/>
      <c r="BE368" s="125"/>
      <c r="BF368" s="125"/>
      <c r="BG368" s="125"/>
      <c r="BH368" s="125"/>
      <c r="BI368" s="125"/>
      <c r="BJ368" s="125"/>
      <c r="BK368" s="125"/>
      <c r="BL368" s="125"/>
      <c r="BM368" s="125"/>
      <c r="BN368" s="125"/>
      <c r="BO368" s="125"/>
      <c r="BP368" s="125"/>
      <c r="BQ368" s="125"/>
      <c r="BR368" s="125"/>
      <c r="BS368" s="125"/>
      <c r="BT368" s="125"/>
      <c r="BU368" s="125"/>
    </row>
    <row r="369" spans="15:73"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/>
      <c r="BE369" s="125"/>
      <c r="BF369" s="125"/>
      <c r="BG369" s="125"/>
      <c r="BH369" s="125"/>
      <c r="BI369" s="125"/>
      <c r="BJ369" s="125"/>
      <c r="BK369" s="125"/>
      <c r="BL369" s="125"/>
      <c r="BM369" s="125"/>
      <c r="BN369" s="125"/>
      <c r="BO369" s="125"/>
      <c r="BP369" s="125"/>
      <c r="BQ369" s="125"/>
      <c r="BR369" s="125"/>
      <c r="BS369" s="125"/>
      <c r="BT369" s="125"/>
      <c r="BU369" s="125"/>
    </row>
    <row r="370" spans="15:73"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  <c r="BD370" s="125"/>
      <c r="BE370" s="125"/>
      <c r="BF370" s="125"/>
      <c r="BG370" s="125"/>
      <c r="BH370" s="125"/>
      <c r="BI370" s="125"/>
      <c r="BJ370" s="125"/>
      <c r="BK370" s="125"/>
      <c r="BL370" s="125"/>
      <c r="BM370" s="125"/>
      <c r="BN370" s="125"/>
      <c r="BO370" s="125"/>
      <c r="BP370" s="125"/>
      <c r="BQ370" s="125"/>
      <c r="BR370" s="125"/>
      <c r="BS370" s="125"/>
      <c r="BT370" s="125"/>
      <c r="BU370" s="125"/>
    </row>
    <row r="371" spans="15:73"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  <c r="BD371" s="125"/>
      <c r="BE371" s="125"/>
      <c r="BF371" s="125"/>
      <c r="BG371" s="125"/>
      <c r="BH371" s="125"/>
      <c r="BI371" s="125"/>
      <c r="BJ371" s="125"/>
      <c r="BK371" s="125"/>
      <c r="BL371" s="125"/>
      <c r="BM371" s="125"/>
      <c r="BN371" s="125"/>
      <c r="BO371" s="125"/>
      <c r="BP371" s="125"/>
      <c r="BQ371" s="125"/>
      <c r="BR371" s="125"/>
      <c r="BS371" s="125"/>
      <c r="BT371" s="125"/>
      <c r="BU371" s="125"/>
    </row>
    <row r="372" spans="15:73"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/>
      <c r="BE372" s="125"/>
      <c r="BF372" s="125"/>
      <c r="BG372" s="125"/>
      <c r="BH372" s="125"/>
      <c r="BI372" s="125"/>
      <c r="BJ372" s="125"/>
      <c r="BK372" s="125"/>
      <c r="BL372" s="125"/>
      <c r="BM372" s="125"/>
      <c r="BN372" s="125"/>
      <c r="BO372" s="125"/>
      <c r="BP372" s="125"/>
      <c r="BQ372" s="125"/>
      <c r="BR372" s="125"/>
      <c r="BS372" s="125"/>
      <c r="BT372" s="125"/>
      <c r="BU372" s="125"/>
    </row>
    <row r="373" spans="15:73"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  <c r="BD373" s="125"/>
      <c r="BE373" s="125"/>
      <c r="BF373" s="125"/>
      <c r="BG373" s="125"/>
      <c r="BH373" s="125"/>
      <c r="BI373" s="125"/>
      <c r="BJ373" s="125"/>
      <c r="BK373" s="125"/>
      <c r="BL373" s="125"/>
      <c r="BM373" s="125"/>
      <c r="BN373" s="125"/>
      <c r="BO373" s="125"/>
      <c r="BP373" s="125"/>
      <c r="BQ373" s="125"/>
      <c r="BR373" s="125"/>
      <c r="BS373" s="125"/>
      <c r="BT373" s="125"/>
      <c r="BU373" s="125"/>
    </row>
    <row r="374" spans="15:73"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/>
      <c r="BE374" s="125"/>
      <c r="BF374" s="125"/>
      <c r="BG374" s="125"/>
      <c r="BH374" s="125"/>
      <c r="BI374" s="125"/>
      <c r="BJ374" s="125"/>
      <c r="BK374" s="125"/>
      <c r="BL374" s="125"/>
      <c r="BM374" s="125"/>
      <c r="BN374" s="125"/>
      <c r="BO374" s="125"/>
      <c r="BP374" s="125"/>
      <c r="BQ374" s="125"/>
      <c r="BR374" s="125"/>
      <c r="BS374" s="125"/>
      <c r="BT374" s="125"/>
      <c r="BU374" s="125"/>
    </row>
    <row r="375" spans="15:73"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/>
      <c r="BE375" s="125"/>
      <c r="BF375" s="125"/>
      <c r="BG375" s="125"/>
      <c r="BH375" s="125"/>
      <c r="BI375" s="125"/>
      <c r="BJ375" s="125"/>
      <c r="BK375" s="125"/>
      <c r="BL375" s="125"/>
      <c r="BM375" s="125"/>
      <c r="BN375" s="125"/>
      <c r="BO375" s="125"/>
      <c r="BP375" s="125"/>
      <c r="BQ375" s="125"/>
      <c r="BR375" s="125"/>
      <c r="BS375" s="125"/>
      <c r="BT375" s="125"/>
      <c r="BU375" s="125"/>
    </row>
    <row r="376" spans="15:73"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/>
      <c r="BE376" s="125"/>
      <c r="BF376" s="125"/>
      <c r="BG376" s="125"/>
      <c r="BH376" s="125"/>
      <c r="BI376" s="125"/>
      <c r="BJ376" s="125"/>
      <c r="BK376" s="125"/>
      <c r="BL376" s="125"/>
      <c r="BM376" s="125"/>
      <c r="BN376" s="125"/>
      <c r="BO376" s="125"/>
      <c r="BP376" s="125"/>
      <c r="BQ376" s="125"/>
      <c r="BR376" s="125"/>
      <c r="BS376" s="125"/>
      <c r="BT376" s="125"/>
      <c r="BU376" s="125"/>
    </row>
    <row r="377" spans="15:73"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/>
      <c r="BE377" s="125"/>
      <c r="BF377" s="125"/>
      <c r="BG377" s="125"/>
      <c r="BH377" s="125"/>
      <c r="BI377" s="125"/>
      <c r="BJ377" s="125"/>
      <c r="BK377" s="125"/>
      <c r="BL377" s="125"/>
      <c r="BM377" s="125"/>
      <c r="BN377" s="125"/>
      <c r="BO377" s="125"/>
      <c r="BP377" s="125"/>
      <c r="BQ377" s="125"/>
      <c r="BR377" s="125"/>
      <c r="BS377" s="125"/>
      <c r="BT377" s="125"/>
      <c r="BU377" s="125"/>
    </row>
    <row r="378" spans="15:73"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/>
      <c r="BE378" s="125"/>
      <c r="BF378" s="125"/>
      <c r="BG378" s="125"/>
      <c r="BH378" s="125"/>
      <c r="BI378" s="125"/>
      <c r="BJ378" s="125"/>
      <c r="BK378" s="125"/>
      <c r="BL378" s="125"/>
      <c r="BM378" s="125"/>
      <c r="BN378" s="125"/>
      <c r="BO378" s="125"/>
      <c r="BP378" s="125"/>
      <c r="BQ378" s="125"/>
      <c r="BR378" s="125"/>
      <c r="BS378" s="125"/>
      <c r="BT378" s="125"/>
      <c r="BU378" s="125"/>
    </row>
    <row r="379" spans="15:73"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/>
      <c r="BE379" s="125"/>
      <c r="BF379" s="125"/>
      <c r="BG379" s="125"/>
      <c r="BH379" s="125"/>
      <c r="BI379" s="125"/>
      <c r="BJ379" s="125"/>
      <c r="BK379" s="125"/>
      <c r="BL379" s="125"/>
      <c r="BM379" s="125"/>
      <c r="BN379" s="125"/>
      <c r="BO379" s="125"/>
      <c r="BP379" s="125"/>
      <c r="BQ379" s="125"/>
      <c r="BR379" s="125"/>
      <c r="BS379" s="125"/>
      <c r="BT379" s="125"/>
      <c r="BU379" s="125"/>
    </row>
    <row r="380" spans="15:73"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X380" s="125"/>
      <c r="AY380" s="125"/>
      <c r="AZ380" s="125"/>
      <c r="BA380" s="125"/>
      <c r="BB380" s="125"/>
      <c r="BC380" s="125"/>
      <c r="BD380" s="125"/>
      <c r="BE380" s="125"/>
      <c r="BF380" s="125"/>
      <c r="BG380" s="125"/>
      <c r="BH380" s="125"/>
      <c r="BI380" s="125"/>
      <c r="BJ380" s="125"/>
      <c r="BK380" s="125"/>
      <c r="BL380" s="125"/>
      <c r="BM380" s="125"/>
      <c r="BN380" s="125"/>
      <c r="BO380" s="125"/>
      <c r="BP380" s="125"/>
      <c r="BQ380" s="125"/>
      <c r="BR380" s="125"/>
      <c r="BS380" s="125"/>
      <c r="BT380" s="125"/>
      <c r="BU380" s="125"/>
    </row>
    <row r="381" spans="15:73"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X381" s="125"/>
      <c r="AY381" s="125"/>
      <c r="AZ381" s="125"/>
      <c r="BA381" s="125"/>
      <c r="BB381" s="125"/>
      <c r="BC381" s="125"/>
      <c r="BD381" s="125"/>
      <c r="BE381" s="125"/>
      <c r="BF381" s="125"/>
      <c r="BG381" s="125"/>
      <c r="BH381" s="125"/>
      <c r="BI381" s="125"/>
      <c r="BJ381" s="125"/>
      <c r="BK381" s="125"/>
      <c r="BL381" s="125"/>
      <c r="BM381" s="125"/>
      <c r="BN381" s="125"/>
      <c r="BO381" s="125"/>
      <c r="BP381" s="125"/>
      <c r="BQ381" s="125"/>
      <c r="BR381" s="125"/>
      <c r="BS381" s="125"/>
      <c r="BT381" s="125"/>
      <c r="BU381" s="125"/>
    </row>
    <row r="382" spans="15:73"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X382" s="125"/>
      <c r="AY382" s="125"/>
      <c r="AZ382" s="125"/>
      <c r="BA382" s="125"/>
      <c r="BB382" s="125"/>
      <c r="BC382" s="125"/>
      <c r="BD382" s="125"/>
      <c r="BE382" s="125"/>
      <c r="BF382" s="125"/>
      <c r="BG382" s="125"/>
      <c r="BH382" s="125"/>
      <c r="BI382" s="125"/>
      <c r="BJ382" s="125"/>
      <c r="BK382" s="125"/>
      <c r="BL382" s="125"/>
      <c r="BM382" s="125"/>
      <c r="BN382" s="125"/>
      <c r="BO382" s="125"/>
      <c r="BP382" s="125"/>
      <c r="BQ382" s="125"/>
      <c r="BR382" s="125"/>
      <c r="BS382" s="125"/>
      <c r="BT382" s="125"/>
      <c r="BU382" s="125"/>
    </row>
    <row r="383" spans="15:73"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/>
      <c r="BE383" s="125"/>
      <c r="BF383" s="125"/>
      <c r="BG383" s="125"/>
      <c r="BH383" s="125"/>
      <c r="BI383" s="125"/>
      <c r="BJ383" s="125"/>
      <c r="BK383" s="125"/>
      <c r="BL383" s="125"/>
      <c r="BM383" s="125"/>
      <c r="BN383" s="125"/>
      <c r="BO383" s="125"/>
      <c r="BP383" s="125"/>
      <c r="BQ383" s="125"/>
      <c r="BR383" s="125"/>
      <c r="BS383" s="125"/>
      <c r="BT383" s="125"/>
      <c r="BU383" s="125"/>
    </row>
    <row r="384" spans="15:73"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X384" s="125"/>
      <c r="AY384" s="125"/>
      <c r="AZ384" s="125"/>
      <c r="BA384" s="125"/>
      <c r="BB384" s="125"/>
      <c r="BC384" s="125"/>
      <c r="BD384" s="125"/>
      <c r="BE384" s="125"/>
      <c r="BF384" s="125"/>
      <c r="BG384" s="125"/>
      <c r="BH384" s="125"/>
      <c r="BI384" s="125"/>
      <c r="BJ384" s="125"/>
      <c r="BK384" s="125"/>
      <c r="BL384" s="125"/>
      <c r="BM384" s="125"/>
      <c r="BN384" s="125"/>
      <c r="BO384" s="125"/>
      <c r="BP384" s="125"/>
      <c r="BQ384" s="125"/>
      <c r="BR384" s="125"/>
      <c r="BS384" s="125"/>
      <c r="BT384" s="125"/>
      <c r="BU384" s="125"/>
    </row>
    <row r="385" spans="15:73"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/>
      <c r="BE385" s="125"/>
      <c r="BF385" s="125"/>
      <c r="BG385" s="125"/>
      <c r="BH385" s="125"/>
      <c r="BI385" s="125"/>
      <c r="BJ385" s="125"/>
      <c r="BK385" s="125"/>
      <c r="BL385" s="125"/>
      <c r="BM385" s="125"/>
      <c r="BN385" s="125"/>
      <c r="BO385" s="125"/>
      <c r="BP385" s="125"/>
      <c r="BQ385" s="125"/>
      <c r="BR385" s="125"/>
      <c r="BS385" s="125"/>
      <c r="BT385" s="125"/>
      <c r="BU385" s="125"/>
    </row>
    <row r="386" spans="15:73"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/>
      <c r="BE386" s="125"/>
      <c r="BF386" s="125"/>
      <c r="BG386" s="125"/>
      <c r="BH386" s="125"/>
      <c r="BI386" s="125"/>
      <c r="BJ386" s="125"/>
      <c r="BK386" s="125"/>
      <c r="BL386" s="125"/>
      <c r="BM386" s="125"/>
      <c r="BN386" s="125"/>
      <c r="BO386" s="125"/>
      <c r="BP386" s="125"/>
      <c r="BQ386" s="125"/>
      <c r="BR386" s="125"/>
      <c r="BS386" s="125"/>
      <c r="BT386" s="125"/>
      <c r="BU386" s="125"/>
    </row>
    <row r="387" spans="15:73"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/>
      <c r="BE387" s="125"/>
      <c r="BF387" s="125"/>
      <c r="BG387" s="125"/>
      <c r="BH387" s="125"/>
      <c r="BI387" s="125"/>
      <c r="BJ387" s="125"/>
      <c r="BK387" s="125"/>
      <c r="BL387" s="125"/>
      <c r="BM387" s="125"/>
      <c r="BN387" s="125"/>
      <c r="BO387" s="125"/>
      <c r="BP387" s="125"/>
      <c r="BQ387" s="125"/>
      <c r="BR387" s="125"/>
      <c r="BS387" s="125"/>
      <c r="BT387" s="125"/>
      <c r="BU387" s="125"/>
    </row>
    <row r="388" spans="15:73"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/>
      <c r="BE388" s="125"/>
      <c r="BF388" s="125"/>
      <c r="BG388" s="125"/>
      <c r="BH388" s="125"/>
      <c r="BI388" s="125"/>
      <c r="BJ388" s="125"/>
      <c r="BK388" s="125"/>
      <c r="BL388" s="125"/>
      <c r="BM388" s="125"/>
      <c r="BN388" s="125"/>
      <c r="BO388" s="125"/>
      <c r="BP388" s="125"/>
      <c r="BQ388" s="125"/>
      <c r="BR388" s="125"/>
      <c r="BS388" s="125"/>
      <c r="BT388" s="125"/>
      <c r="BU388" s="125"/>
    </row>
    <row r="389" spans="15:73"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X389" s="125"/>
      <c r="AY389" s="125"/>
      <c r="AZ389" s="125"/>
      <c r="BA389" s="125"/>
      <c r="BB389" s="125"/>
      <c r="BC389" s="125"/>
      <c r="BD389" s="125"/>
      <c r="BE389" s="125"/>
      <c r="BF389" s="125"/>
      <c r="BG389" s="125"/>
      <c r="BH389" s="125"/>
      <c r="BI389" s="125"/>
      <c r="BJ389" s="125"/>
      <c r="BK389" s="125"/>
      <c r="BL389" s="125"/>
      <c r="BM389" s="125"/>
      <c r="BN389" s="125"/>
      <c r="BO389" s="125"/>
      <c r="BP389" s="125"/>
      <c r="BQ389" s="125"/>
      <c r="BR389" s="125"/>
      <c r="BS389" s="125"/>
      <c r="BT389" s="125"/>
      <c r="BU389" s="125"/>
    </row>
    <row r="390" spans="15:73"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X390" s="125"/>
      <c r="AY390" s="125"/>
      <c r="AZ390" s="125"/>
      <c r="BA390" s="125"/>
      <c r="BB390" s="125"/>
      <c r="BC390" s="125"/>
      <c r="BD390" s="125"/>
      <c r="BE390" s="125"/>
      <c r="BF390" s="125"/>
      <c r="BG390" s="125"/>
      <c r="BH390" s="125"/>
      <c r="BI390" s="125"/>
      <c r="BJ390" s="125"/>
      <c r="BK390" s="125"/>
      <c r="BL390" s="125"/>
      <c r="BM390" s="125"/>
      <c r="BN390" s="125"/>
      <c r="BO390" s="125"/>
      <c r="BP390" s="125"/>
      <c r="BQ390" s="125"/>
      <c r="BR390" s="125"/>
      <c r="BS390" s="125"/>
      <c r="BT390" s="125"/>
      <c r="BU390" s="125"/>
    </row>
    <row r="391" spans="15:73"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X391" s="125"/>
      <c r="AY391" s="125"/>
      <c r="AZ391" s="125"/>
      <c r="BA391" s="125"/>
      <c r="BB391" s="125"/>
      <c r="BC391" s="125"/>
      <c r="BD391" s="125"/>
      <c r="BE391" s="125"/>
      <c r="BF391" s="125"/>
      <c r="BG391" s="125"/>
      <c r="BH391" s="125"/>
      <c r="BI391" s="125"/>
      <c r="BJ391" s="125"/>
      <c r="BK391" s="125"/>
      <c r="BL391" s="125"/>
      <c r="BM391" s="125"/>
      <c r="BN391" s="125"/>
      <c r="BO391" s="125"/>
      <c r="BP391" s="125"/>
      <c r="BQ391" s="125"/>
      <c r="BR391" s="125"/>
      <c r="BS391" s="125"/>
      <c r="BT391" s="125"/>
      <c r="BU391" s="125"/>
    </row>
    <row r="392" spans="15:73"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X392" s="125"/>
      <c r="AY392" s="125"/>
      <c r="AZ392" s="125"/>
      <c r="BA392" s="125"/>
      <c r="BB392" s="125"/>
      <c r="BC392" s="125"/>
      <c r="BD392" s="125"/>
      <c r="BE392" s="125"/>
      <c r="BF392" s="125"/>
      <c r="BG392" s="125"/>
      <c r="BH392" s="125"/>
      <c r="BI392" s="125"/>
      <c r="BJ392" s="125"/>
      <c r="BK392" s="125"/>
      <c r="BL392" s="125"/>
      <c r="BM392" s="125"/>
      <c r="BN392" s="125"/>
      <c r="BO392" s="125"/>
      <c r="BP392" s="125"/>
      <c r="BQ392" s="125"/>
      <c r="BR392" s="125"/>
      <c r="BS392" s="125"/>
      <c r="BT392" s="125"/>
      <c r="BU392" s="125"/>
    </row>
    <row r="393" spans="15:73"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X393" s="125"/>
      <c r="AY393" s="125"/>
      <c r="AZ393" s="125"/>
      <c r="BA393" s="125"/>
      <c r="BB393" s="125"/>
      <c r="BC393" s="125"/>
      <c r="BD393" s="125"/>
      <c r="BE393" s="125"/>
      <c r="BF393" s="125"/>
      <c r="BG393" s="125"/>
      <c r="BH393" s="125"/>
      <c r="BI393" s="125"/>
      <c r="BJ393" s="125"/>
      <c r="BK393" s="125"/>
      <c r="BL393" s="125"/>
      <c r="BM393" s="125"/>
      <c r="BN393" s="125"/>
      <c r="BO393" s="125"/>
      <c r="BP393" s="125"/>
      <c r="BQ393" s="125"/>
      <c r="BR393" s="125"/>
      <c r="BS393" s="125"/>
      <c r="BT393" s="125"/>
      <c r="BU393" s="125"/>
    </row>
    <row r="394" spans="15:73"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X394" s="125"/>
      <c r="AY394" s="125"/>
      <c r="AZ394" s="125"/>
      <c r="BA394" s="125"/>
      <c r="BB394" s="125"/>
      <c r="BC394" s="125"/>
      <c r="BD394" s="125"/>
      <c r="BE394" s="125"/>
      <c r="BF394" s="125"/>
      <c r="BG394" s="125"/>
      <c r="BH394" s="125"/>
      <c r="BI394" s="125"/>
      <c r="BJ394" s="125"/>
      <c r="BK394" s="125"/>
      <c r="BL394" s="125"/>
      <c r="BM394" s="125"/>
      <c r="BN394" s="125"/>
      <c r="BO394" s="125"/>
      <c r="BP394" s="125"/>
      <c r="BQ394" s="125"/>
      <c r="BR394" s="125"/>
      <c r="BS394" s="125"/>
      <c r="BT394" s="125"/>
      <c r="BU394" s="125"/>
    </row>
    <row r="395" spans="15:73"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X395" s="125"/>
      <c r="AY395" s="125"/>
      <c r="AZ395" s="125"/>
      <c r="BA395" s="125"/>
      <c r="BB395" s="125"/>
      <c r="BC395" s="125"/>
      <c r="BD395" s="125"/>
      <c r="BE395" s="125"/>
      <c r="BF395" s="125"/>
      <c r="BG395" s="125"/>
      <c r="BH395" s="125"/>
      <c r="BI395" s="125"/>
      <c r="BJ395" s="125"/>
      <c r="BK395" s="125"/>
      <c r="BL395" s="125"/>
      <c r="BM395" s="125"/>
      <c r="BN395" s="125"/>
      <c r="BO395" s="125"/>
      <c r="BP395" s="125"/>
      <c r="BQ395" s="125"/>
      <c r="BR395" s="125"/>
      <c r="BS395" s="125"/>
      <c r="BT395" s="125"/>
      <c r="BU395" s="125"/>
    </row>
    <row r="396" spans="15:73"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X396" s="125"/>
      <c r="AY396" s="125"/>
      <c r="AZ396" s="125"/>
      <c r="BA396" s="125"/>
      <c r="BB396" s="125"/>
      <c r="BC396" s="125"/>
      <c r="BD396" s="125"/>
      <c r="BE396" s="125"/>
      <c r="BF396" s="125"/>
      <c r="BG396" s="125"/>
      <c r="BH396" s="125"/>
      <c r="BI396" s="125"/>
      <c r="BJ396" s="125"/>
      <c r="BK396" s="125"/>
      <c r="BL396" s="125"/>
      <c r="BM396" s="125"/>
      <c r="BN396" s="125"/>
      <c r="BO396" s="125"/>
      <c r="BP396" s="125"/>
      <c r="BQ396" s="125"/>
      <c r="BR396" s="125"/>
      <c r="BS396" s="125"/>
      <c r="BT396" s="125"/>
      <c r="BU396" s="125"/>
    </row>
    <row r="397" spans="15:73"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X397" s="125"/>
      <c r="AY397" s="125"/>
      <c r="AZ397" s="125"/>
      <c r="BA397" s="125"/>
      <c r="BB397" s="125"/>
      <c r="BC397" s="125"/>
      <c r="BD397" s="125"/>
      <c r="BE397" s="125"/>
      <c r="BF397" s="125"/>
      <c r="BG397" s="125"/>
      <c r="BH397" s="125"/>
      <c r="BI397" s="125"/>
      <c r="BJ397" s="125"/>
      <c r="BK397" s="125"/>
      <c r="BL397" s="125"/>
      <c r="BM397" s="125"/>
      <c r="BN397" s="125"/>
      <c r="BO397" s="125"/>
      <c r="BP397" s="125"/>
      <c r="BQ397" s="125"/>
      <c r="BR397" s="125"/>
      <c r="BS397" s="125"/>
      <c r="BT397" s="125"/>
      <c r="BU397" s="125"/>
    </row>
    <row r="398" spans="15:73"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X398" s="125"/>
      <c r="AY398" s="125"/>
      <c r="AZ398" s="125"/>
      <c r="BA398" s="125"/>
      <c r="BB398" s="125"/>
      <c r="BC398" s="125"/>
      <c r="BD398" s="125"/>
      <c r="BE398" s="125"/>
      <c r="BF398" s="125"/>
      <c r="BG398" s="125"/>
      <c r="BH398" s="125"/>
      <c r="BI398" s="125"/>
      <c r="BJ398" s="125"/>
      <c r="BK398" s="125"/>
      <c r="BL398" s="125"/>
      <c r="BM398" s="125"/>
      <c r="BN398" s="125"/>
      <c r="BO398" s="125"/>
      <c r="BP398" s="125"/>
      <c r="BQ398" s="125"/>
      <c r="BR398" s="125"/>
      <c r="BS398" s="125"/>
      <c r="BT398" s="125"/>
      <c r="BU398" s="125"/>
    </row>
    <row r="399" spans="15:73"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X399" s="125"/>
      <c r="AY399" s="125"/>
      <c r="AZ399" s="125"/>
      <c r="BA399" s="125"/>
      <c r="BB399" s="125"/>
      <c r="BC399" s="125"/>
      <c r="BD399" s="125"/>
      <c r="BE399" s="125"/>
      <c r="BF399" s="125"/>
      <c r="BG399" s="125"/>
      <c r="BH399" s="125"/>
      <c r="BI399" s="125"/>
      <c r="BJ399" s="125"/>
      <c r="BK399" s="125"/>
      <c r="BL399" s="125"/>
      <c r="BM399" s="125"/>
      <c r="BN399" s="125"/>
      <c r="BO399" s="125"/>
      <c r="BP399" s="125"/>
      <c r="BQ399" s="125"/>
      <c r="BR399" s="125"/>
      <c r="BS399" s="125"/>
      <c r="BT399" s="125"/>
      <c r="BU399" s="125"/>
    </row>
    <row r="400" spans="15:73"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X400" s="125"/>
      <c r="AY400" s="125"/>
      <c r="AZ400" s="125"/>
      <c r="BA400" s="125"/>
      <c r="BB400" s="125"/>
      <c r="BC400" s="125"/>
      <c r="BD400" s="125"/>
      <c r="BE400" s="125"/>
      <c r="BF400" s="125"/>
      <c r="BG400" s="125"/>
      <c r="BH400" s="125"/>
      <c r="BI400" s="125"/>
      <c r="BJ400" s="125"/>
      <c r="BK400" s="125"/>
      <c r="BL400" s="125"/>
      <c r="BM400" s="125"/>
      <c r="BN400" s="125"/>
      <c r="BO400" s="125"/>
      <c r="BP400" s="125"/>
      <c r="BQ400" s="125"/>
      <c r="BR400" s="125"/>
      <c r="BS400" s="125"/>
      <c r="BT400" s="125"/>
      <c r="BU400" s="125"/>
    </row>
    <row r="401" spans="15:73"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X401" s="125"/>
      <c r="AY401" s="125"/>
      <c r="AZ401" s="125"/>
      <c r="BA401" s="125"/>
      <c r="BB401" s="125"/>
      <c r="BC401" s="125"/>
      <c r="BD401" s="125"/>
      <c r="BE401" s="125"/>
      <c r="BF401" s="125"/>
      <c r="BG401" s="125"/>
      <c r="BH401" s="125"/>
      <c r="BI401" s="125"/>
      <c r="BJ401" s="125"/>
      <c r="BK401" s="125"/>
      <c r="BL401" s="125"/>
      <c r="BM401" s="125"/>
      <c r="BN401" s="125"/>
      <c r="BO401" s="125"/>
      <c r="BP401" s="125"/>
      <c r="BQ401" s="125"/>
      <c r="BR401" s="125"/>
      <c r="BS401" s="125"/>
      <c r="BT401" s="125"/>
      <c r="BU401" s="125"/>
    </row>
    <row r="402" spans="15:73"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X402" s="125"/>
      <c r="AY402" s="125"/>
      <c r="AZ402" s="125"/>
      <c r="BA402" s="125"/>
      <c r="BB402" s="125"/>
      <c r="BC402" s="125"/>
      <c r="BD402" s="125"/>
      <c r="BE402" s="125"/>
      <c r="BF402" s="125"/>
      <c r="BG402" s="125"/>
      <c r="BH402" s="125"/>
      <c r="BI402" s="125"/>
      <c r="BJ402" s="125"/>
      <c r="BK402" s="125"/>
      <c r="BL402" s="125"/>
      <c r="BM402" s="125"/>
      <c r="BN402" s="125"/>
      <c r="BO402" s="125"/>
      <c r="BP402" s="125"/>
      <c r="BQ402" s="125"/>
      <c r="BR402" s="125"/>
      <c r="BS402" s="125"/>
      <c r="BT402" s="125"/>
      <c r="BU402" s="125"/>
    </row>
    <row r="403" spans="15:73"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X403" s="125"/>
      <c r="AY403" s="125"/>
      <c r="AZ403" s="125"/>
      <c r="BA403" s="125"/>
      <c r="BB403" s="125"/>
      <c r="BC403" s="125"/>
      <c r="BD403" s="125"/>
      <c r="BE403" s="125"/>
      <c r="BF403" s="125"/>
      <c r="BG403" s="125"/>
      <c r="BH403" s="125"/>
      <c r="BI403" s="125"/>
      <c r="BJ403" s="125"/>
      <c r="BK403" s="125"/>
      <c r="BL403" s="125"/>
      <c r="BM403" s="125"/>
      <c r="BN403" s="125"/>
      <c r="BO403" s="125"/>
      <c r="BP403" s="125"/>
      <c r="BQ403" s="125"/>
      <c r="BR403" s="125"/>
      <c r="BS403" s="125"/>
      <c r="BT403" s="125"/>
      <c r="BU403" s="125"/>
    </row>
    <row r="404" spans="15:73"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X404" s="125"/>
      <c r="AY404" s="125"/>
      <c r="AZ404" s="125"/>
      <c r="BA404" s="125"/>
      <c r="BB404" s="125"/>
      <c r="BC404" s="125"/>
      <c r="BD404" s="125"/>
      <c r="BE404" s="125"/>
      <c r="BF404" s="125"/>
      <c r="BG404" s="125"/>
      <c r="BH404" s="125"/>
      <c r="BI404" s="125"/>
      <c r="BJ404" s="125"/>
      <c r="BK404" s="125"/>
      <c r="BL404" s="125"/>
      <c r="BM404" s="125"/>
      <c r="BN404" s="125"/>
      <c r="BO404" s="125"/>
      <c r="BP404" s="125"/>
      <c r="BQ404" s="125"/>
      <c r="BR404" s="125"/>
      <c r="BS404" s="125"/>
      <c r="BT404" s="125"/>
      <c r="BU404" s="125"/>
    </row>
    <row r="405" spans="15:73"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X405" s="125"/>
      <c r="AY405" s="125"/>
      <c r="AZ405" s="125"/>
      <c r="BA405" s="125"/>
      <c r="BB405" s="125"/>
      <c r="BC405" s="125"/>
      <c r="BD405" s="125"/>
      <c r="BE405" s="125"/>
      <c r="BF405" s="125"/>
      <c r="BG405" s="125"/>
      <c r="BH405" s="125"/>
      <c r="BI405" s="125"/>
      <c r="BJ405" s="125"/>
      <c r="BK405" s="125"/>
      <c r="BL405" s="125"/>
      <c r="BM405" s="125"/>
      <c r="BN405" s="125"/>
      <c r="BO405" s="125"/>
      <c r="BP405" s="125"/>
      <c r="BQ405" s="125"/>
      <c r="BR405" s="125"/>
      <c r="BS405" s="125"/>
      <c r="BT405" s="125"/>
      <c r="BU405" s="125"/>
    </row>
    <row r="406" spans="15:73"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X406" s="125"/>
      <c r="AY406" s="125"/>
      <c r="AZ406" s="125"/>
      <c r="BA406" s="125"/>
      <c r="BB406" s="125"/>
      <c r="BC406" s="125"/>
      <c r="BD406" s="125"/>
      <c r="BE406" s="125"/>
      <c r="BF406" s="125"/>
      <c r="BG406" s="125"/>
      <c r="BH406" s="125"/>
      <c r="BI406" s="125"/>
      <c r="BJ406" s="125"/>
      <c r="BK406" s="125"/>
      <c r="BL406" s="125"/>
      <c r="BM406" s="125"/>
      <c r="BN406" s="125"/>
      <c r="BO406" s="125"/>
      <c r="BP406" s="125"/>
      <c r="BQ406" s="125"/>
      <c r="BR406" s="125"/>
      <c r="BS406" s="125"/>
      <c r="BT406" s="125"/>
      <c r="BU406" s="125"/>
    </row>
    <row r="407" spans="15:73"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X407" s="125"/>
      <c r="AY407" s="125"/>
      <c r="AZ407" s="125"/>
      <c r="BA407" s="125"/>
      <c r="BB407" s="125"/>
      <c r="BC407" s="125"/>
      <c r="BD407" s="125"/>
      <c r="BE407" s="125"/>
      <c r="BF407" s="125"/>
      <c r="BG407" s="125"/>
      <c r="BH407" s="125"/>
      <c r="BI407" s="125"/>
      <c r="BJ407" s="125"/>
      <c r="BK407" s="125"/>
      <c r="BL407" s="125"/>
      <c r="BM407" s="125"/>
      <c r="BN407" s="125"/>
      <c r="BO407" s="125"/>
      <c r="BP407" s="125"/>
      <c r="BQ407" s="125"/>
      <c r="BR407" s="125"/>
      <c r="BS407" s="125"/>
      <c r="BT407" s="125"/>
      <c r="BU407" s="125"/>
    </row>
    <row r="408" spans="15:73"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X408" s="125"/>
      <c r="AY408" s="125"/>
      <c r="AZ408" s="125"/>
      <c r="BA408" s="125"/>
      <c r="BB408" s="125"/>
      <c r="BC408" s="125"/>
      <c r="BD408" s="125"/>
      <c r="BE408" s="125"/>
      <c r="BF408" s="125"/>
      <c r="BG408" s="125"/>
      <c r="BH408" s="125"/>
      <c r="BI408" s="125"/>
      <c r="BJ408" s="125"/>
      <c r="BK408" s="125"/>
      <c r="BL408" s="125"/>
      <c r="BM408" s="125"/>
      <c r="BN408" s="125"/>
      <c r="BO408" s="125"/>
      <c r="BP408" s="125"/>
      <c r="BQ408" s="125"/>
      <c r="BR408" s="125"/>
      <c r="BS408" s="125"/>
      <c r="BT408" s="125"/>
      <c r="BU408" s="125"/>
    </row>
    <row r="409" spans="15:73"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X409" s="125"/>
      <c r="AY409" s="125"/>
      <c r="AZ409" s="125"/>
      <c r="BA409" s="125"/>
      <c r="BB409" s="125"/>
      <c r="BC409" s="125"/>
      <c r="BD409" s="125"/>
      <c r="BE409" s="125"/>
      <c r="BF409" s="125"/>
      <c r="BG409" s="125"/>
      <c r="BH409" s="125"/>
      <c r="BI409" s="125"/>
      <c r="BJ409" s="125"/>
      <c r="BK409" s="125"/>
      <c r="BL409" s="125"/>
      <c r="BM409" s="125"/>
      <c r="BN409" s="125"/>
      <c r="BO409" s="125"/>
      <c r="BP409" s="125"/>
      <c r="BQ409" s="125"/>
      <c r="BR409" s="125"/>
      <c r="BS409" s="125"/>
      <c r="BT409" s="125"/>
      <c r="BU409" s="125"/>
    </row>
    <row r="410" spans="15:73"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X410" s="125"/>
      <c r="AY410" s="125"/>
      <c r="AZ410" s="125"/>
      <c r="BA410" s="125"/>
      <c r="BB410" s="125"/>
      <c r="BC410" s="125"/>
      <c r="BD410" s="125"/>
      <c r="BE410" s="125"/>
      <c r="BF410" s="125"/>
      <c r="BG410" s="125"/>
      <c r="BH410" s="125"/>
      <c r="BI410" s="125"/>
      <c r="BJ410" s="125"/>
      <c r="BK410" s="125"/>
      <c r="BL410" s="125"/>
      <c r="BM410" s="125"/>
      <c r="BN410" s="125"/>
      <c r="BO410" s="125"/>
      <c r="BP410" s="125"/>
      <c r="BQ410" s="125"/>
      <c r="BR410" s="125"/>
      <c r="BS410" s="125"/>
      <c r="BT410" s="125"/>
      <c r="BU410" s="125"/>
    </row>
    <row r="411" spans="15:73"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X411" s="125"/>
      <c r="AY411" s="125"/>
      <c r="AZ411" s="125"/>
      <c r="BA411" s="125"/>
      <c r="BB411" s="125"/>
      <c r="BC411" s="125"/>
      <c r="BD411" s="125"/>
      <c r="BE411" s="125"/>
      <c r="BF411" s="125"/>
      <c r="BG411" s="125"/>
      <c r="BH411" s="125"/>
      <c r="BI411" s="125"/>
      <c r="BJ411" s="125"/>
      <c r="BK411" s="125"/>
      <c r="BL411" s="125"/>
      <c r="BM411" s="125"/>
      <c r="BN411" s="125"/>
      <c r="BO411" s="125"/>
      <c r="BP411" s="125"/>
      <c r="BQ411" s="125"/>
      <c r="BR411" s="125"/>
      <c r="BS411" s="125"/>
      <c r="BT411" s="125"/>
      <c r="BU411" s="125"/>
    </row>
    <row r="412" spans="15:73"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F412" s="125"/>
      <c r="AG412" s="125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  <c r="AV412" s="125"/>
      <c r="AW412" s="125"/>
      <c r="AX412" s="125"/>
      <c r="AY412" s="125"/>
      <c r="AZ412" s="125"/>
      <c r="BA412" s="125"/>
      <c r="BB412" s="125"/>
      <c r="BC412" s="125"/>
      <c r="BD412" s="125"/>
      <c r="BE412" s="125"/>
      <c r="BF412" s="125"/>
      <c r="BG412" s="125"/>
      <c r="BH412" s="125"/>
      <c r="BI412" s="125"/>
      <c r="BJ412" s="125"/>
      <c r="BK412" s="125"/>
      <c r="BL412" s="125"/>
      <c r="BM412" s="125"/>
      <c r="BN412" s="125"/>
      <c r="BO412" s="125"/>
      <c r="BP412" s="125"/>
      <c r="BQ412" s="125"/>
      <c r="BR412" s="125"/>
      <c r="BS412" s="125"/>
      <c r="BT412" s="125"/>
      <c r="BU412" s="125"/>
    </row>
    <row r="413" spans="15:73"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  <c r="AX413" s="125"/>
      <c r="AY413" s="125"/>
      <c r="AZ413" s="125"/>
      <c r="BA413" s="125"/>
      <c r="BB413" s="125"/>
      <c r="BC413" s="125"/>
      <c r="BD413" s="125"/>
      <c r="BE413" s="125"/>
      <c r="BF413" s="125"/>
      <c r="BG413" s="125"/>
      <c r="BH413" s="125"/>
      <c r="BI413" s="125"/>
      <c r="BJ413" s="125"/>
      <c r="BK413" s="125"/>
      <c r="BL413" s="125"/>
      <c r="BM413" s="125"/>
      <c r="BN413" s="125"/>
      <c r="BO413" s="125"/>
      <c r="BP413" s="125"/>
      <c r="BQ413" s="125"/>
      <c r="BR413" s="125"/>
      <c r="BS413" s="125"/>
      <c r="BT413" s="125"/>
      <c r="BU413" s="125"/>
    </row>
    <row r="414" spans="15:73"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F414" s="125"/>
      <c r="AG414" s="125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  <c r="AV414" s="125"/>
      <c r="AW414" s="125"/>
      <c r="AX414" s="125"/>
      <c r="AY414" s="125"/>
      <c r="AZ414" s="125"/>
      <c r="BA414" s="125"/>
      <c r="BB414" s="125"/>
      <c r="BC414" s="125"/>
      <c r="BD414" s="125"/>
      <c r="BE414" s="125"/>
      <c r="BF414" s="125"/>
      <c r="BG414" s="125"/>
      <c r="BH414" s="125"/>
      <c r="BI414" s="125"/>
      <c r="BJ414" s="125"/>
      <c r="BK414" s="125"/>
      <c r="BL414" s="125"/>
      <c r="BM414" s="125"/>
      <c r="BN414" s="125"/>
      <c r="BO414" s="125"/>
      <c r="BP414" s="125"/>
      <c r="BQ414" s="125"/>
      <c r="BR414" s="125"/>
      <c r="BS414" s="125"/>
      <c r="BT414" s="125"/>
      <c r="BU414" s="125"/>
    </row>
    <row r="415" spans="15:73"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F415" s="125"/>
      <c r="AG415" s="125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  <c r="AV415" s="125"/>
      <c r="AW415" s="125"/>
      <c r="AX415" s="125"/>
      <c r="AY415" s="125"/>
      <c r="AZ415" s="125"/>
      <c r="BA415" s="125"/>
      <c r="BB415" s="125"/>
      <c r="BC415" s="125"/>
      <c r="BD415" s="125"/>
      <c r="BE415" s="125"/>
      <c r="BF415" s="125"/>
      <c r="BG415" s="125"/>
      <c r="BH415" s="125"/>
      <c r="BI415" s="125"/>
      <c r="BJ415" s="125"/>
      <c r="BK415" s="125"/>
      <c r="BL415" s="125"/>
      <c r="BM415" s="125"/>
      <c r="BN415" s="125"/>
      <c r="BO415" s="125"/>
      <c r="BP415" s="125"/>
      <c r="BQ415" s="125"/>
      <c r="BR415" s="125"/>
      <c r="BS415" s="125"/>
      <c r="BT415" s="125"/>
      <c r="BU415" s="125"/>
    </row>
    <row r="416" spans="15:73"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F416" s="125"/>
      <c r="AG416" s="125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  <c r="AV416" s="125"/>
      <c r="AW416" s="125"/>
      <c r="AX416" s="125"/>
      <c r="AY416" s="125"/>
      <c r="AZ416" s="125"/>
      <c r="BA416" s="125"/>
      <c r="BB416" s="125"/>
      <c r="BC416" s="125"/>
      <c r="BD416" s="125"/>
      <c r="BE416" s="125"/>
      <c r="BF416" s="125"/>
      <c r="BG416" s="125"/>
      <c r="BH416" s="125"/>
      <c r="BI416" s="125"/>
      <c r="BJ416" s="125"/>
      <c r="BK416" s="125"/>
      <c r="BL416" s="125"/>
      <c r="BM416" s="125"/>
      <c r="BN416" s="125"/>
      <c r="BO416" s="125"/>
      <c r="BP416" s="125"/>
      <c r="BQ416" s="125"/>
      <c r="BR416" s="125"/>
      <c r="BS416" s="125"/>
      <c r="BT416" s="125"/>
      <c r="BU416" s="125"/>
    </row>
    <row r="417" spans="15:73"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F417" s="125"/>
      <c r="AG417" s="125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  <c r="AV417" s="125"/>
      <c r="AW417" s="125"/>
      <c r="AX417" s="125"/>
      <c r="AY417" s="125"/>
      <c r="AZ417" s="125"/>
      <c r="BA417" s="125"/>
      <c r="BB417" s="125"/>
      <c r="BC417" s="125"/>
      <c r="BD417" s="125"/>
      <c r="BE417" s="125"/>
      <c r="BF417" s="125"/>
      <c r="BG417" s="125"/>
      <c r="BH417" s="125"/>
      <c r="BI417" s="125"/>
      <c r="BJ417" s="125"/>
      <c r="BK417" s="125"/>
      <c r="BL417" s="125"/>
      <c r="BM417" s="125"/>
      <c r="BN417" s="125"/>
      <c r="BO417" s="125"/>
      <c r="BP417" s="125"/>
      <c r="BQ417" s="125"/>
      <c r="BR417" s="125"/>
      <c r="BS417" s="125"/>
      <c r="BT417" s="125"/>
      <c r="BU417" s="125"/>
    </row>
    <row r="418" spans="15:73"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F418" s="125"/>
      <c r="AG418" s="125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  <c r="AX418" s="125"/>
      <c r="AY418" s="125"/>
      <c r="AZ418" s="125"/>
      <c r="BA418" s="125"/>
      <c r="BB418" s="125"/>
      <c r="BC418" s="125"/>
      <c r="BD418" s="125"/>
      <c r="BE418" s="125"/>
      <c r="BF418" s="125"/>
      <c r="BG418" s="125"/>
      <c r="BH418" s="125"/>
      <c r="BI418" s="125"/>
      <c r="BJ418" s="125"/>
      <c r="BK418" s="125"/>
      <c r="BL418" s="125"/>
      <c r="BM418" s="125"/>
      <c r="BN418" s="125"/>
      <c r="BO418" s="125"/>
      <c r="BP418" s="125"/>
      <c r="BQ418" s="125"/>
      <c r="BR418" s="125"/>
      <c r="BS418" s="125"/>
      <c r="BT418" s="125"/>
      <c r="BU418" s="125"/>
    </row>
    <row r="419" spans="15:73"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  <c r="AB419" s="125"/>
      <c r="AC419" s="125"/>
      <c r="AD419" s="125"/>
      <c r="AE419" s="125"/>
      <c r="AF419" s="125"/>
      <c r="AG419" s="125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  <c r="AV419" s="125"/>
      <c r="AW419" s="125"/>
      <c r="AX419" s="125"/>
      <c r="AY419" s="125"/>
      <c r="AZ419" s="125"/>
      <c r="BA419" s="125"/>
      <c r="BB419" s="125"/>
      <c r="BC419" s="125"/>
      <c r="BD419" s="125"/>
      <c r="BE419" s="125"/>
      <c r="BF419" s="125"/>
      <c r="BG419" s="125"/>
      <c r="BH419" s="125"/>
      <c r="BI419" s="125"/>
      <c r="BJ419" s="125"/>
      <c r="BK419" s="125"/>
      <c r="BL419" s="125"/>
      <c r="BM419" s="125"/>
      <c r="BN419" s="125"/>
      <c r="BO419" s="125"/>
      <c r="BP419" s="125"/>
      <c r="BQ419" s="125"/>
      <c r="BR419" s="125"/>
      <c r="BS419" s="125"/>
      <c r="BT419" s="125"/>
      <c r="BU419" s="125"/>
    </row>
    <row r="420" spans="15:73"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  <c r="AA420" s="125"/>
      <c r="AB420" s="125"/>
      <c r="AC420" s="125"/>
      <c r="AD420" s="125"/>
      <c r="AE420" s="125"/>
      <c r="AF420" s="125"/>
      <c r="AG420" s="125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  <c r="AV420" s="125"/>
      <c r="AW420" s="125"/>
      <c r="AX420" s="125"/>
      <c r="AY420" s="125"/>
      <c r="AZ420" s="125"/>
      <c r="BA420" s="125"/>
      <c r="BB420" s="125"/>
      <c r="BC420" s="125"/>
      <c r="BD420" s="125"/>
      <c r="BE420" s="125"/>
      <c r="BF420" s="125"/>
      <c r="BG420" s="125"/>
      <c r="BH420" s="125"/>
      <c r="BI420" s="125"/>
      <c r="BJ420" s="125"/>
      <c r="BK420" s="125"/>
      <c r="BL420" s="125"/>
      <c r="BM420" s="125"/>
      <c r="BN420" s="125"/>
      <c r="BO420" s="125"/>
      <c r="BP420" s="125"/>
      <c r="BQ420" s="125"/>
      <c r="BR420" s="125"/>
      <c r="BS420" s="125"/>
      <c r="BT420" s="125"/>
      <c r="BU420" s="125"/>
    </row>
    <row r="421" spans="15:73"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F421" s="125"/>
      <c r="AG421" s="125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  <c r="AV421" s="125"/>
      <c r="AW421" s="125"/>
      <c r="AX421" s="125"/>
      <c r="AY421" s="125"/>
      <c r="AZ421" s="125"/>
      <c r="BA421" s="125"/>
      <c r="BB421" s="125"/>
      <c r="BC421" s="125"/>
      <c r="BD421" s="125"/>
      <c r="BE421" s="125"/>
      <c r="BF421" s="125"/>
      <c r="BG421" s="125"/>
      <c r="BH421" s="125"/>
      <c r="BI421" s="125"/>
      <c r="BJ421" s="125"/>
      <c r="BK421" s="125"/>
      <c r="BL421" s="125"/>
      <c r="BM421" s="125"/>
      <c r="BN421" s="125"/>
      <c r="BO421" s="125"/>
      <c r="BP421" s="125"/>
      <c r="BQ421" s="125"/>
      <c r="BR421" s="125"/>
      <c r="BS421" s="125"/>
      <c r="BT421" s="125"/>
      <c r="BU421" s="125"/>
    </row>
    <row r="422" spans="15:73"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  <c r="AA422" s="125"/>
      <c r="AB422" s="125"/>
      <c r="AC422" s="125"/>
      <c r="AD422" s="125"/>
      <c r="AE422" s="125"/>
      <c r="AF422" s="125"/>
      <c r="AG422" s="125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  <c r="AV422" s="125"/>
      <c r="AW422" s="125"/>
      <c r="AX422" s="125"/>
      <c r="AY422" s="125"/>
      <c r="AZ422" s="125"/>
      <c r="BA422" s="125"/>
      <c r="BB422" s="125"/>
      <c r="BC422" s="125"/>
      <c r="BD422" s="125"/>
      <c r="BE422" s="125"/>
      <c r="BF422" s="125"/>
      <c r="BG422" s="125"/>
      <c r="BH422" s="125"/>
      <c r="BI422" s="125"/>
      <c r="BJ422" s="125"/>
      <c r="BK422" s="125"/>
      <c r="BL422" s="125"/>
      <c r="BM422" s="125"/>
      <c r="BN422" s="125"/>
      <c r="BO422" s="125"/>
      <c r="BP422" s="125"/>
      <c r="BQ422" s="125"/>
      <c r="BR422" s="125"/>
      <c r="BS422" s="125"/>
      <c r="BT422" s="125"/>
      <c r="BU422" s="125"/>
    </row>
    <row r="423" spans="15:73"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  <c r="AB423" s="125"/>
      <c r="AC423" s="125"/>
      <c r="AD423" s="125"/>
      <c r="AE423" s="125"/>
      <c r="AF423" s="125"/>
      <c r="AG423" s="125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  <c r="AV423" s="125"/>
      <c r="AW423" s="125"/>
      <c r="AX423" s="125"/>
      <c r="AY423" s="125"/>
      <c r="AZ423" s="125"/>
      <c r="BA423" s="125"/>
      <c r="BB423" s="125"/>
      <c r="BC423" s="125"/>
      <c r="BD423" s="125"/>
      <c r="BE423" s="125"/>
      <c r="BF423" s="125"/>
      <c r="BG423" s="125"/>
      <c r="BH423" s="125"/>
      <c r="BI423" s="125"/>
      <c r="BJ423" s="125"/>
      <c r="BK423" s="125"/>
      <c r="BL423" s="125"/>
      <c r="BM423" s="125"/>
      <c r="BN423" s="125"/>
      <c r="BO423" s="125"/>
      <c r="BP423" s="125"/>
      <c r="BQ423" s="125"/>
      <c r="BR423" s="125"/>
      <c r="BS423" s="125"/>
      <c r="BT423" s="125"/>
      <c r="BU423" s="125"/>
    </row>
    <row r="424" spans="15:73"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  <c r="AB424" s="125"/>
      <c r="AC424" s="125"/>
      <c r="AD424" s="125"/>
      <c r="AE424" s="125"/>
      <c r="AF424" s="125"/>
      <c r="AG424" s="125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  <c r="AV424" s="125"/>
      <c r="AW424" s="125"/>
      <c r="AX424" s="125"/>
      <c r="AY424" s="125"/>
      <c r="AZ424" s="125"/>
      <c r="BA424" s="125"/>
      <c r="BB424" s="125"/>
      <c r="BC424" s="125"/>
      <c r="BD424" s="125"/>
      <c r="BE424" s="125"/>
      <c r="BF424" s="125"/>
      <c r="BG424" s="125"/>
      <c r="BH424" s="125"/>
      <c r="BI424" s="125"/>
      <c r="BJ424" s="125"/>
      <c r="BK424" s="125"/>
      <c r="BL424" s="125"/>
      <c r="BM424" s="125"/>
      <c r="BN424" s="125"/>
      <c r="BO424" s="125"/>
      <c r="BP424" s="125"/>
      <c r="BQ424" s="125"/>
      <c r="BR424" s="125"/>
      <c r="BS424" s="125"/>
      <c r="BT424" s="125"/>
      <c r="BU424" s="125"/>
    </row>
    <row r="425" spans="15:73"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  <c r="AB425" s="125"/>
      <c r="AC425" s="125"/>
      <c r="AD425" s="125"/>
      <c r="AE425" s="125"/>
      <c r="AF425" s="125"/>
      <c r="AG425" s="125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  <c r="AV425" s="125"/>
      <c r="AW425" s="125"/>
      <c r="AX425" s="125"/>
      <c r="AY425" s="125"/>
      <c r="AZ425" s="125"/>
      <c r="BA425" s="125"/>
      <c r="BB425" s="125"/>
      <c r="BC425" s="125"/>
      <c r="BD425" s="125"/>
      <c r="BE425" s="125"/>
      <c r="BF425" s="125"/>
      <c r="BG425" s="125"/>
      <c r="BH425" s="125"/>
      <c r="BI425" s="125"/>
      <c r="BJ425" s="125"/>
      <c r="BK425" s="125"/>
      <c r="BL425" s="125"/>
      <c r="BM425" s="125"/>
      <c r="BN425" s="125"/>
      <c r="BO425" s="125"/>
      <c r="BP425" s="125"/>
      <c r="BQ425" s="125"/>
      <c r="BR425" s="125"/>
      <c r="BS425" s="125"/>
      <c r="BT425" s="125"/>
      <c r="BU425" s="125"/>
    </row>
    <row r="426" spans="15:73"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  <c r="AB426" s="125"/>
      <c r="AC426" s="125"/>
      <c r="AD426" s="125"/>
      <c r="AE426" s="125"/>
      <c r="AF426" s="125"/>
      <c r="AG426" s="125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  <c r="AV426" s="125"/>
      <c r="AW426" s="125"/>
      <c r="AX426" s="125"/>
      <c r="AY426" s="125"/>
      <c r="AZ426" s="125"/>
      <c r="BA426" s="125"/>
      <c r="BB426" s="125"/>
      <c r="BC426" s="125"/>
      <c r="BD426" s="125"/>
      <c r="BE426" s="125"/>
      <c r="BF426" s="125"/>
      <c r="BG426" s="125"/>
      <c r="BH426" s="125"/>
      <c r="BI426" s="125"/>
      <c r="BJ426" s="125"/>
      <c r="BK426" s="125"/>
      <c r="BL426" s="125"/>
      <c r="BM426" s="125"/>
      <c r="BN426" s="125"/>
      <c r="BO426" s="125"/>
      <c r="BP426" s="125"/>
      <c r="BQ426" s="125"/>
      <c r="BR426" s="125"/>
      <c r="BS426" s="125"/>
      <c r="BT426" s="125"/>
      <c r="BU426" s="125"/>
    </row>
    <row r="427" spans="15:73"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  <c r="AB427" s="125"/>
      <c r="AC427" s="125"/>
      <c r="AD427" s="125"/>
      <c r="AE427" s="125"/>
      <c r="AF427" s="125"/>
      <c r="AG427" s="125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  <c r="AV427" s="125"/>
      <c r="AW427" s="125"/>
      <c r="AX427" s="125"/>
      <c r="AY427" s="125"/>
      <c r="AZ427" s="125"/>
      <c r="BA427" s="125"/>
      <c r="BB427" s="125"/>
      <c r="BC427" s="125"/>
      <c r="BD427" s="125"/>
      <c r="BE427" s="125"/>
      <c r="BF427" s="125"/>
      <c r="BG427" s="125"/>
      <c r="BH427" s="125"/>
      <c r="BI427" s="125"/>
      <c r="BJ427" s="125"/>
      <c r="BK427" s="125"/>
      <c r="BL427" s="125"/>
      <c r="BM427" s="125"/>
      <c r="BN427" s="125"/>
      <c r="BO427" s="125"/>
      <c r="BP427" s="125"/>
      <c r="BQ427" s="125"/>
      <c r="BR427" s="125"/>
      <c r="BS427" s="125"/>
      <c r="BT427" s="125"/>
      <c r="BU427" s="125"/>
    </row>
    <row r="428" spans="15:73"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  <c r="AB428" s="125"/>
      <c r="AC428" s="125"/>
      <c r="AD428" s="125"/>
      <c r="AE428" s="125"/>
      <c r="AF428" s="125"/>
      <c r="AG428" s="125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  <c r="AV428" s="125"/>
      <c r="AW428" s="125"/>
      <c r="AX428" s="125"/>
      <c r="AY428" s="125"/>
      <c r="AZ428" s="125"/>
      <c r="BA428" s="125"/>
      <c r="BB428" s="125"/>
      <c r="BC428" s="125"/>
      <c r="BD428" s="125"/>
      <c r="BE428" s="125"/>
      <c r="BF428" s="125"/>
      <c r="BG428" s="125"/>
      <c r="BH428" s="125"/>
      <c r="BI428" s="125"/>
      <c r="BJ428" s="125"/>
      <c r="BK428" s="125"/>
      <c r="BL428" s="125"/>
      <c r="BM428" s="125"/>
      <c r="BN428" s="125"/>
      <c r="BO428" s="125"/>
      <c r="BP428" s="125"/>
      <c r="BQ428" s="125"/>
      <c r="BR428" s="125"/>
      <c r="BS428" s="125"/>
      <c r="BT428" s="125"/>
      <c r="BU428" s="125"/>
    </row>
    <row r="429" spans="15:73"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  <c r="AA429" s="125"/>
      <c r="AB429" s="125"/>
      <c r="AC429" s="125"/>
      <c r="AD429" s="125"/>
      <c r="AE429" s="125"/>
      <c r="AF429" s="125"/>
      <c r="AG429" s="125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  <c r="AV429" s="125"/>
      <c r="AW429" s="125"/>
      <c r="AX429" s="125"/>
      <c r="AY429" s="125"/>
      <c r="AZ429" s="125"/>
      <c r="BA429" s="125"/>
      <c r="BB429" s="125"/>
      <c r="BC429" s="125"/>
      <c r="BD429" s="125"/>
      <c r="BE429" s="125"/>
      <c r="BF429" s="125"/>
      <c r="BG429" s="125"/>
      <c r="BH429" s="125"/>
      <c r="BI429" s="125"/>
      <c r="BJ429" s="125"/>
      <c r="BK429" s="125"/>
      <c r="BL429" s="125"/>
      <c r="BM429" s="125"/>
      <c r="BN429" s="125"/>
      <c r="BO429" s="125"/>
      <c r="BP429" s="125"/>
      <c r="BQ429" s="125"/>
      <c r="BR429" s="125"/>
      <c r="BS429" s="125"/>
      <c r="BT429" s="125"/>
      <c r="BU429" s="125"/>
    </row>
    <row r="430" spans="15:73"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  <c r="AA430" s="125"/>
      <c r="AB430" s="125"/>
      <c r="AC430" s="125"/>
      <c r="AD430" s="125"/>
      <c r="AE430" s="125"/>
      <c r="AF430" s="125"/>
      <c r="AG430" s="125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  <c r="AV430" s="125"/>
      <c r="AW430" s="125"/>
      <c r="AX430" s="125"/>
      <c r="AY430" s="125"/>
      <c r="AZ430" s="125"/>
      <c r="BA430" s="125"/>
      <c r="BB430" s="125"/>
      <c r="BC430" s="125"/>
      <c r="BD430" s="125"/>
      <c r="BE430" s="125"/>
      <c r="BF430" s="125"/>
      <c r="BG430" s="125"/>
      <c r="BH430" s="125"/>
      <c r="BI430" s="125"/>
      <c r="BJ430" s="125"/>
      <c r="BK430" s="125"/>
      <c r="BL430" s="125"/>
      <c r="BM430" s="125"/>
      <c r="BN430" s="125"/>
      <c r="BO430" s="125"/>
      <c r="BP430" s="125"/>
      <c r="BQ430" s="125"/>
      <c r="BR430" s="125"/>
      <c r="BS430" s="125"/>
      <c r="BT430" s="125"/>
      <c r="BU430" s="125"/>
    </row>
    <row r="431" spans="15:73"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  <c r="AV431" s="125"/>
      <c r="AW431" s="125"/>
      <c r="AX431" s="125"/>
      <c r="AY431" s="125"/>
      <c r="AZ431" s="125"/>
      <c r="BA431" s="125"/>
      <c r="BB431" s="125"/>
      <c r="BC431" s="125"/>
      <c r="BD431" s="125"/>
      <c r="BE431" s="125"/>
      <c r="BF431" s="125"/>
      <c r="BG431" s="125"/>
      <c r="BH431" s="125"/>
      <c r="BI431" s="125"/>
      <c r="BJ431" s="125"/>
      <c r="BK431" s="125"/>
      <c r="BL431" s="125"/>
      <c r="BM431" s="125"/>
      <c r="BN431" s="125"/>
      <c r="BO431" s="125"/>
      <c r="BP431" s="125"/>
      <c r="BQ431" s="125"/>
      <c r="BR431" s="125"/>
      <c r="BS431" s="125"/>
      <c r="BT431" s="125"/>
      <c r="BU431" s="125"/>
    </row>
    <row r="432" spans="15:73"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  <c r="AV432" s="125"/>
      <c r="AW432" s="125"/>
      <c r="AX432" s="125"/>
      <c r="AY432" s="125"/>
      <c r="AZ432" s="125"/>
      <c r="BA432" s="125"/>
      <c r="BB432" s="125"/>
      <c r="BC432" s="125"/>
      <c r="BD432" s="125"/>
      <c r="BE432" s="125"/>
      <c r="BF432" s="125"/>
      <c r="BG432" s="125"/>
      <c r="BH432" s="125"/>
      <c r="BI432" s="125"/>
      <c r="BJ432" s="125"/>
      <c r="BK432" s="125"/>
      <c r="BL432" s="125"/>
      <c r="BM432" s="125"/>
      <c r="BN432" s="125"/>
      <c r="BO432" s="125"/>
      <c r="BP432" s="125"/>
      <c r="BQ432" s="125"/>
      <c r="BR432" s="125"/>
      <c r="BS432" s="125"/>
      <c r="BT432" s="125"/>
      <c r="BU432" s="125"/>
    </row>
    <row r="433" spans="15:73"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  <c r="AV433" s="125"/>
      <c r="AW433" s="125"/>
      <c r="AX433" s="125"/>
      <c r="AY433" s="125"/>
      <c r="AZ433" s="125"/>
      <c r="BA433" s="125"/>
      <c r="BB433" s="125"/>
      <c r="BC433" s="125"/>
      <c r="BD433" s="125"/>
      <c r="BE433" s="125"/>
      <c r="BF433" s="125"/>
      <c r="BG433" s="125"/>
      <c r="BH433" s="125"/>
      <c r="BI433" s="125"/>
      <c r="BJ433" s="125"/>
      <c r="BK433" s="125"/>
      <c r="BL433" s="125"/>
      <c r="BM433" s="125"/>
      <c r="BN433" s="125"/>
      <c r="BO433" s="125"/>
      <c r="BP433" s="125"/>
      <c r="BQ433" s="125"/>
      <c r="BR433" s="125"/>
      <c r="BS433" s="125"/>
      <c r="BT433" s="125"/>
      <c r="BU433" s="125"/>
    </row>
    <row r="434" spans="15:73"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  <c r="AV434" s="125"/>
      <c r="AW434" s="125"/>
      <c r="AX434" s="125"/>
      <c r="AY434" s="125"/>
      <c r="AZ434" s="125"/>
      <c r="BA434" s="125"/>
      <c r="BB434" s="125"/>
      <c r="BC434" s="125"/>
      <c r="BD434" s="125"/>
      <c r="BE434" s="125"/>
      <c r="BF434" s="125"/>
      <c r="BG434" s="125"/>
      <c r="BH434" s="125"/>
      <c r="BI434" s="125"/>
      <c r="BJ434" s="125"/>
      <c r="BK434" s="125"/>
      <c r="BL434" s="125"/>
      <c r="BM434" s="125"/>
      <c r="BN434" s="125"/>
      <c r="BO434" s="125"/>
      <c r="BP434" s="125"/>
      <c r="BQ434" s="125"/>
      <c r="BR434" s="125"/>
      <c r="BS434" s="125"/>
      <c r="BT434" s="125"/>
      <c r="BU434" s="125"/>
    </row>
    <row r="435" spans="15:73"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  <c r="AV435" s="125"/>
      <c r="AW435" s="125"/>
      <c r="AX435" s="125"/>
      <c r="AY435" s="125"/>
      <c r="AZ435" s="125"/>
      <c r="BA435" s="125"/>
      <c r="BB435" s="125"/>
      <c r="BC435" s="125"/>
      <c r="BD435" s="125"/>
      <c r="BE435" s="125"/>
      <c r="BF435" s="125"/>
      <c r="BG435" s="125"/>
      <c r="BH435" s="125"/>
      <c r="BI435" s="125"/>
      <c r="BJ435" s="125"/>
      <c r="BK435" s="125"/>
      <c r="BL435" s="125"/>
      <c r="BM435" s="125"/>
      <c r="BN435" s="125"/>
      <c r="BO435" s="125"/>
      <c r="BP435" s="125"/>
      <c r="BQ435" s="125"/>
      <c r="BR435" s="125"/>
      <c r="BS435" s="125"/>
      <c r="BT435" s="125"/>
      <c r="BU435" s="125"/>
    </row>
    <row r="436" spans="15:73"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  <c r="AV436" s="125"/>
      <c r="AW436" s="125"/>
      <c r="AX436" s="125"/>
      <c r="AY436" s="125"/>
      <c r="AZ436" s="125"/>
      <c r="BA436" s="125"/>
      <c r="BB436" s="125"/>
      <c r="BC436" s="125"/>
      <c r="BD436" s="125"/>
      <c r="BE436" s="125"/>
      <c r="BF436" s="125"/>
      <c r="BG436" s="125"/>
      <c r="BH436" s="125"/>
      <c r="BI436" s="125"/>
      <c r="BJ436" s="125"/>
      <c r="BK436" s="125"/>
      <c r="BL436" s="125"/>
      <c r="BM436" s="125"/>
      <c r="BN436" s="125"/>
      <c r="BO436" s="125"/>
      <c r="BP436" s="125"/>
      <c r="BQ436" s="125"/>
      <c r="BR436" s="125"/>
      <c r="BS436" s="125"/>
      <c r="BT436" s="125"/>
      <c r="BU436" s="125"/>
    </row>
    <row r="437" spans="15:73"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  <c r="AV437" s="125"/>
      <c r="AW437" s="125"/>
      <c r="AX437" s="125"/>
      <c r="AY437" s="125"/>
      <c r="AZ437" s="125"/>
      <c r="BA437" s="125"/>
      <c r="BB437" s="125"/>
      <c r="BC437" s="125"/>
      <c r="BD437" s="125"/>
      <c r="BE437" s="125"/>
      <c r="BF437" s="125"/>
      <c r="BG437" s="125"/>
      <c r="BH437" s="125"/>
      <c r="BI437" s="125"/>
      <c r="BJ437" s="125"/>
      <c r="BK437" s="125"/>
      <c r="BL437" s="125"/>
      <c r="BM437" s="125"/>
      <c r="BN437" s="125"/>
      <c r="BO437" s="125"/>
      <c r="BP437" s="125"/>
      <c r="BQ437" s="125"/>
      <c r="BR437" s="125"/>
      <c r="BS437" s="125"/>
      <c r="BT437" s="125"/>
      <c r="BU437" s="125"/>
    </row>
    <row r="438" spans="15:73"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  <c r="AV438" s="125"/>
      <c r="AW438" s="125"/>
      <c r="AX438" s="125"/>
      <c r="AY438" s="125"/>
      <c r="AZ438" s="125"/>
      <c r="BA438" s="125"/>
      <c r="BB438" s="125"/>
      <c r="BC438" s="125"/>
      <c r="BD438" s="125"/>
      <c r="BE438" s="125"/>
      <c r="BF438" s="125"/>
      <c r="BG438" s="125"/>
      <c r="BH438" s="125"/>
      <c r="BI438" s="125"/>
      <c r="BJ438" s="125"/>
      <c r="BK438" s="125"/>
      <c r="BL438" s="125"/>
      <c r="BM438" s="125"/>
      <c r="BN438" s="125"/>
      <c r="BO438" s="125"/>
      <c r="BP438" s="125"/>
      <c r="BQ438" s="125"/>
      <c r="BR438" s="125"/>
      <c r="BS438" s="125"/>
      <c r="BT438" s="125"/>
      <c r="BU438" s="125"/>
    </row>
    <row r="439" spans="15:73"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  <c r="AV439" s="125"/>
      <c r="AW439" s="125"/>
      <c r="AX439" s="125"/>
      <c r="AY439" s="125"/>
      <c r="AZ439" s="125"/>
      <c r="BA439" s="125"/>
      <c r="BB439" s="125"/>
      <c r="BC439" s="125"/>
      <c r="BD439" s="125"/>
      <c r="BE439" s="125"/>
      <c r="BF439" s="125"/>
      <c r="BG439" s="125"/>
      <c r="BH439" s="125"/>
      <c r="BI439" s="125"/>
      <c r="BJ439" s="125"/>
      <c r="BK439" s="125"/>
      <c r="BL439" s="125"/>
      <c r="BM439" s="125"/>
      <c r="BN439" s="125"/>
      <c r="BO439" s="125"/>
      <c r="BP439" s="125"/>
      <c r="BQ439" s="125"/>
      <c r="BR439" s="125"/>
      <c r="BS439" s="125"/>
      <c r="BT439" s="125"/>
      <c r="BU439" s="125"/>
    </row>
    <row r="440" spans="15:73"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  <c r="AV440" s="125"/>
      <c r="AW440" s="125"/>
      <c r="AX440" s="125"/>
      <c r="AY440" s="125"/>
      <c r="AZ440" s="125"/>
      <c r="BA440" s="125"/>
      <c r="BB440" s="125"/>
      <c r="BC440" s="125"/>
      <c r="BD440" s="125"/>
      <c r="BE440" s="125"/>
      <c r="BF440" s="125"/>
      <c r="BG440" s="125"/>
      <c r="BH440" s="125"/>
      <c r="BI440" s="125"/>
      <c r="BJ440" s="125"/>
      <c r="BK440" s="125"/>
      <c r="BL440" s="125"/>
      <c r="BM440" s="125"/>
      <c r="BN440" s="125"/>
      <c r="BO440" s="125"/>
      <c r="BP440" s="125"/>
      <c r="BQ440" s="125"/>
      <c r="BR440" s="125"/>
      <c r="BS440" s="125"/>
      <c r="BT440" s="125"/>
      <c r="BU440" s="125"/>
    </row>
    <row r="441" spans="15:73"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  <c r="AV441" s="125"/>
      <c r="AW441" s="125"/>
      <c r="AX441" s="125"/>
      <c r="AY441" s="125"/>
      <c r="AZ441" s="125"/>
      <c r="BA441" s="125"/>
      <c r="BB441" s="125"/>
      <c r="BC441" s="125"/>
      <c r="BD441" s="125"/>
      <c r="BE441" s="125"/>
      <c r="BF441" s="125"/>
      <c r="BG441" s="125"/>
      <c r="BH441" s="125"/>
      <c r="BI441" s="125"/>
      <c r="BJ441" s="125"/>
      <c r="BK441" s="125"/>
      <c r="BL441" s="125"/>
      <c r="BM441" s="125"/>
      <c r="BN441" s="125"/>
      <c r="BO441" s="125"/>
      <c r="BP441" s="125"/>
      <c r="BQ441" s="125"/>
      <c r="BR441" s="125"/>
      <c r="BS441" s="125"/>
      <c r="BT441" s="125"/>
      <c r="BU441" s="125"/>
    </row>
    <row r="442" spans="15:73"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  <c r="AV442" s="125"/>
      <c r="AW442" s="125"/>
      <c r="AX442" s="125"/>
      <c r="AY442" s="125"/>
      <c r="AZ442" s="125"/>
      <c r="BA442" s="125"/>
      <c r="BB442" s="125"/>
      <c r="BC442" s="125"/>
      <c r="BD442" s="125"/>
      <c r="BE442" s="125"/>
      <c r="BF442" s="125"/>
      <c r="BG442" s="125"/>
      <c r="BH442" s="125"/>
      <c r="BI442" s="125"/>
      <c r="BJ442" s="125"/>
      <c r="BK442" s="125"/>
      <c r="BL442" s="125"/>
      <c r="BM442" s="125"/>
      <c r="BN442" s="125"/>
      <c r="BO442" s="125"/>
      <c r="BP442" s="125"/>
      <c r="BQ442" s="125"/>
      <c r="BR442" s="125"/>
      <c r="BS442" s="125"/>
      <c r="BT442" s="125"/>
      <c r="BU442" s="125"/>
    </row>
    <row r="443" spans="15:73"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  <c r="AV443" s="125"/>
      <c r="AW443" s="125"/>
      <c r="AX443" s="125"/>
      <c r="AY443" s="125"/>
      <c r="AZ443" s="125"/>
      <c r="BA443" s="125"/>
      <c r="BB443" s="125"/>
      <c r="BC443" s="125"/>
      <c r="BD443" s="125"/>
      <c r="BE443" s="125"/>
      <c r="BF443" s="125"/>
      <c r="BG443" s="125"/>
      <c r="BH443" s="125"/>
      <c r="BI443" s="125"/>
      <c r="BJ443" s="125"/>
      <c r="BK443" s="125"/>
      <c r="BL443" s="125"/>
      <c r="BM443" s="125"/>
      <c r="BN443" s="125"/>
      <c r="BO443" s="125"/>
      <c r="BP443" s="125"/>
      <c r="BQ443" s="125"/>
      <c r="BR443" s="125"/>
      <c r="BS443" s="125"/>
      <c r="BT443" s="125"/>
      <c r="BU443" s="125"/>
    </row>
    <row r="444" spans="15:73"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F444" s="125"/>
      <c r="AG444" s="125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  <c r="AV444" s="125"/>
      <c r="AW444" s="125"/>
      <c r="AX444" s="125"/>
      <c r="AY444" s="125"/>
      <c r="AZ444" s="125"/>
      <c r="BA444" s="125"/>
      <c r="BB444" s="125"/>
      <c r="BC444" s="125"/>
      <c r="BD444" s="125"/>
      <c r="BE444" s="125"/>
      <c r="BF444" s="125"/>
      <c r="BG444" s="125"/>
      <c r="BH444" s="125"/>
      <c r="BI444" s="125"/>
      <c r="BJ444" s="125"/>
      <c r="BK444" s="125"/>
      <c r="BL444" s="125"/>
      <c r="BM444" s="125"/>
      <c r="BN444" s="125"/>
      <c r="BO444" s="125"/>
      <c r="BP444" s="125"/>
      <c r="BQ444" s="125"/>
      <c r="BR444" s="125"/>
      <c r="BS444" s="125"/>
      <c r="BT444" s="125"/>
      <c r="BU444" s="125"/>
    </row>
    <row r="445" spans="15:73"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F445" s="125"/>
      <c r="AG445" s="125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  <c r="AV445" s="125"/>
      <c r="AW445" s="125"/>
      <c r="AX445" s="125"/>
      <c r="AY445" s="125"/>
      <c r="AZ445" s="125"/>
      <c r="BA445" s="125"/>
      <c r="BB445" s="125"/>
      <c r="BC445" s="125"/>
      <c r="BD445" s="125"/>
      <c r="BE445" s="125"/>
      <c r="BF445" s="125"/>
      <c r="BG445" s="125"/>
      <c r="BH445" s="125"/>
      <c r="BI445" s="125"/>
      <c r="BJ445" s="125"/>
      <c r="BK445" s="125"/>
      <c r="BL445" s="125"/>
      <c r="BM445" s="125"/>
      <c r="BN445" s="125"/>
      <c r="BO445" s="125"/>
      <c r="BP445" s="125"/>
      <c r="BQ445" s="125"/>
      <c r="BR445" s="125"/>
      <c r="BS445" s="125"/>
      <c r="BT445" s="125"/>
      <c r="BU445" s="125"/>
    </row>
    <row r="446" spans="15:73"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F446" s="125"/>
      <c r="AG446" s="125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  <c r="AV446" s="125"/>
      <c r="AW446" s="125"/>
      <c r="AX446" s="125"/>
      <c r="AY446" s="125"/>
      <c r="AZ446" s="125"/>
      <c r="BA446" s="125"/>
      <c r="BB446" s="125"/>
      <c r="BC446" s="125"/>
      <c r="BD446" s="125"/>
      <c r="BE446" s="125"/>
      <c r="BF446" s="125"/>
      <c r="BG446" s="125"/>
      <c r="BH446" s="125"/>
      <c r="BI446" s="125"/>
      <c r="BJ446" s="125"/>
      <c r="BK446" s="125"/>
      <c r="BL446" s="125"/>
      <c r="BM446" s="125"/>
      <c r="BN446" s="125"/>
      <c r="BO446" s="125"/>
      <c r="BP446" s="125"/>
      <c r="BQ446" s="125"/>
      <c r="BR446" s="125"/>
      <c r="BS446" s="125"/>
      <c r="BT446" s="125"/>
      <c r="BU446" s="125"/>
    </row>
    <row r="447" spans="15:73"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F447" s="125"/>
      <c r="AG447" s="125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  <c r="AV447" s="125"/>
      <c r="AW447" s="125"/>
      <c r="AX447" s="125"/>
      <c r="AY447" s="125"/>
      <c r="AZ447" s="125"/>
      <c r="BA447" s="125"/>
      <c r="BB447" s="125"/>
      <c r="BC447" s="125"/>
      <c r="BD447" s="125"/>
      <c r="BE447" s="125"/>
      <c r="BF447" s="125"/>
      <c r="BG447" s="125"/>
      <c r="BH447" s="125"/>
      <c r="BI447" s="125"/>
      <c r="BJ447" s="125"/>
      <c r="BK447" s="125"/>
      <c r="BL447" s="125"/>
      <c r="BM447" s="125"/>
      <c r="BN447" s="125"/>
      <c r="BO447" s="125"/>
      <c r="BP447" s="125"/>
      <c r="BQ447" s="125"/>
      <c r="BR447" s="125"/>
      <c r="BS447" s="125"/>
      <c r="BT447" s="125"/>
      <c r="BU447" s="125"/>
    </row>
    <row r="448" spans="15:73"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F448" s="125"/>
      <c r="AG448" s="125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  <c r="AV448" s="125"/>
      <c r="AW448" s="125"/>
      <c r="AX448" s="125"/>
      <c r="AY448" s="125"/>
      <c r="AZ448" s="125"/>
      <c r="BA448" s="125"/>
      <c r="BB448" s="125"/>
      <c r="BC448" s="125"/>
      <c r="BD448" s="125"/>
      <c r="BE448" s="125"/>
      <c r="BF448" s="125"/>
      <c r="BG448" s="125"/>
      <c r="BH448" s="125"/>
      <c r="BI448" s="125"/>
      <c r="BJ448" s="125"/>
      <c r="BK448" s="125"/>
      <c r="BL448" s="125"/>
      <c r="BM448" s="125"/>
      <c r="BN448" s="125"/>
      <c r="BO448" s="125"/>
      <c r="BP448" s="125"/>
      <c r="BQ448" s="125"/>
      <c r="BR448" s="125"/>
      <c r="BS448" s="125"/>
      <c r="BT448" s="125"/>
      <c r="BU448" s="125"/>
    </row>
    <row r="449" spans="15:73"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F449" s="125"/>
      <c r="AG449" s="125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  <c r="AV449" s="125"/>
      <c r="AW449" s="125"/>
      <c r="AX449" s="125"/>
      <c r="AY449" s="125"/>
      <c r="AZ449" s="125"/>
      <c r="BA449" s="125"/>
      <c r="BB449" s="125"/>
      <c r="BC449" s="125"/>
      <c r="BD449" s="125"/>
      <c r="BE449" s="125"/>
      <c r="BF449" s="125"/>
      <c r="BG449" s="125"/>
      <c r="BH449" s="125"/>
      <c r="BI449" s="125"/>
      <c r="BJ449" s="125"/>
      <c r="BK449" s="125"/>
      <c r="BL449" s="125"/>
      <c r="BM449" s="125"/>
      <c r="BN449" s="125"/>
      <c r="BO449" s="125"/>
      <c r="BP449" s="125"/>
      <c r="BQ449" s="125"/>
      <c r="BR449" s="125"/>
      <c r="BS449" s="125"/>
      <c r="BT449" s="125"/>
      <c r="BU449" s="125"/>
    </row>
    <row r="450" spans="15:73"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F450" s="125"/>
      <c r="AG450" s="125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  <c r="AV450" s="125"/>
      <c r="AW450" s="125"/>
      <c r="AX450" s="125"/>
      <c r="AY450" s="125"/>
      <c r="AZ450" s="125"/>
      <c r="BA450" s="125"/>
      <c r="BB450" s="125"/>
      <c r="BC450" s="125"/>
      <c r="BD450" s="125"/>
      <c r="BE450" s="125"/>
      <c r="BF450" s="125"/>
      <c r="BG450" s="125"/>
      <c r="BH450" s="125"/>
      <c r="BI450" s="125"/>
      <c r="BJ450" s="125"/>
      <c r="BK450" s="125"/>
      <c r="BL450" s="125"/>
      <c r="BM450" s="125"/>
      <c r="BN450" s="125"/>
      <c r="BO450" s="125"/>
      <c r="BP450" s="125"/>
      <c r="BQ450" s="125"/>
      <c r="BR450" s="125"/>
      <c r="BS450" s="125"/>
      <c r="BT450" s="125"/>
      <c r="BU450" s="125"/>
    </row>
    <row r="451" spans="15:73"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F451" s="125"/>
      <c r="AG451" s="125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  <c r="AV451" s="125"/>
      <c r="AW451" s="125"/>
      <c r="AX451" s="125"/>
      <c r="AY451" s="125"/>
      <c r="AZ451" s="125"/>
      <c r="BA451" s="125"/>
      <c r="BB451" s="125"/>
      <c r="BC451" s="125"/>
      <c r="BD451" s="125"/>
      <c r="BE451" s="125"/>
      <c r="BF451" s="125"/>
      <c r="BG451" s="125"/>
      <c r="BH451" s="125"/>
      <c r="BI451" s="125"/>
      <c r="BJ451" s="125"/>
      <c r="BK451" s="125"/>
      <c r="BL451" s="125"/>
      <c r="BM451" s="125"/>
      <c r="BN451" s="125"/>
      <c r="BO451" s="125"/>
      <c r="BP451" s="125"/>
      <c r="BQ451" s="125"/>
      <c r="BR451" s="125"/>
      <c r="BS451" s="125"/>
      <c r="BT451" s="125"/>
      <c r="BU451" s="125"/>
    </row>
    <row r="452" spans="15:73"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F452" s="125"/>
      <c r="AG452" s="125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  <c r="AV452" s="125"/>
      <c r="AW452" s="125"/>
      <c r="AX452" s="125"/>
      <c r="AY452" s="125"/>
      <c r="AZ452" s="125"/>
      <c r="BA452" s="125"/>
      <c r="BB452" s="125"/>
      <c r="BC452" s="125"/>
      <c r="BD452" s="125"/>
      <c r="BE452" s="125"/>
      <c r="BF452" s="125"/>
      <c r="BG452" s="125"/>
      <c r="BH452" s="125"/>
      <c r="BI452" s="125"/>
      <c r="BJ452" s="125"/>
      <c r="BK452" s="125"/>
      <c r="BL452" s="125"/>
      <c r="BM452" s="125"/>
      <c r="BN452" s="125"/>
      <c r="BO452" s="125"/>
      <c r="BP452" s="125"/>
      <c r="BQ452" s="125"/>
      <c r="BR452" s="125"/>
      <c r="BS452" s="125"/>
      <c r="BT452" s="125"/>
      <c r="BU452" s="125"/>
    </row>
    <row r="453" spans="15:73"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F453" s="125"/>
      <c r="AG453" s="125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  <c r="AV453" s="125"/>
      <c r="AW453" s="125"/>
      <c r="AX453" s="125"/>
      <c r="AY453" s="125"/>
      <c r="AZ453" s="125"/>
      <c r="BA453" s="125"/>
      <c r="BB453" s="125"/>
      <c r="BC453" s="125"/>
      <c r="BD453" s="125"/>
      <c r="BE453" s="125"/>
      <c r="BF453" s="125"/>
      <c r="BG453" s="125"/>
      <c r="BH453" s="125"/>
      <c r="BI453" s="125"/>
      <c r="BJ453" s="125"/>
      <c r="BK453" s="125"/>
      <c r="BL453" s="125"/>
      <c r="BM453" s="125"/>
      <c r="BN453" s="125"/>
      <c r="BO453" s="125"/>
      <c r="BP453" s="125"/>
      <c r="BQ453" s="125"/>
      <c r="BR453" s="125"/>
      <c r="BS453" s="125"/>
      <c r="BT453" s="125"/>
      <c r="BU453" s="125"/>
    </row>
    <row r="454" spans="15:73"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  <c r="AV454" s="125"/>
      <c r="AW454" s="125"/>
      <c r="AX454" s="125"/>
      <c r="AY454" s="125"/>
      <c r="AZ454" s="125"/>
      <c r="BA454" s="125"/>
      <c r="BB454" s="125"/>
      <c r="BC454" s="125"/>
      <c r="BD454" s="125"/>
      <c r="BE454" s="125"/>
      <c r="BF454" s="125"/>
      <c r="BG454" s="125"/>
      <c r="BH454" s="125"/>
      <c r="BI454" s="125"/>
      <c r="BJ454" s="125"/>
      <c r="BK454" s="125"/>
      <c r="BL454" s="125"/>
      <c r="BM454" s="125"/>
      <c r="BN454" s="125"/>
      <c r="BO454" s="125"/>
      <c r="BP454" s="125"/>
      <c r="BQ454" s="125"/>
      <c r="BR454" s="125"/>
      <c r="BS454" s="125"/>
      <c r="BT454" s="125"/>
      <c r="BU454" s="125"/>
    </row>
    <row r="455" spans="15:73"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F455" s="125"/>
      <c r="AG455" s="125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  <c r="AV455" s="125"/>
      <c r="AW455" s="125"/>
      <c r="AX455" s="125"/>
      <c r="AY455" s="125"/>
      <c r="AZ455" s="125"/>
      <c r="BA455" s="125"/>
      <c r="BB455" s="125"/>
      <c r="BC455" s="125"/>
      <c r="BD455" s="125"/>
      <c r="BE455" s="125"/>
      <c r="BF455" s="125"/>
      <c r="BG455" s="125"/>
      <c r="BH455" s="125"/>
      <c r="BI455" s="125"/>
      <c r="BJ455" s="125"/>
      <c r="BK455" s="125"/>
      <c r="BL455" s="125"/>
      <c r="BM455" s="125"/>
      <c r="BN455" s="125"/>
      <c r="BO455" s="125"/>
      <c r="BP455" s="125"/>
      <c r="BQ455" s="125"/>
      <c r="BR455" s="125"/>
      <c r="BS455" s="125"/>
      <c r="BT455" s="125"/>
      <c r="BU455" s="125"/>
    </row>
    <row r="456" spans="15:73"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25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  <c r="AV456" s="125"/>
      <c r="AW456" s="125"/>
      <c r="AX456" s="125"/>
      <c r="AY456" s="125"/>
      <c r="AZ456" s="125"/>
      <c r="BA456" s="125"/>
      <c r="BB456" s="125"/>
      <c r="BC456" s="125"/>
      <c r="BD456" s="125"/>
      <c r="BE456" s="125"/>
      <c r="BF456" s="125"/>
      <c r="BG456" s="125"/>
      <c r="BH456" s="125"/>
      <c r="BI456" s="125"/>
      <c r="BJ456" s="125"/>
      <c r="BK456" s="125"/>
      <c r="BL456" s="125"/>
      <c r="BM456" s="125"/>
      <c r="BN456" s="125"/>
      <c r="BO456" s="125"/>
      <c r="BP456" s="125"/>
      <c r="BQ456" s="125"/>
      <c r="BR456" s="125"/>
      <c r="BS456" s="125"/>
      <c r="BT456" s="125"/>
      <c r="BU456" s="125"/>
    </row>
    <row r="457" spans="15:73"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  <c r="AV457" s="125"/>
      <c r="AW457" s="125"/>
      <c r="AX457" s="125"/>
      <c r="AY457" s="125"/>
      <c r="AZ457" s="125"/>
      <c r="BA457" s="125"/>
      <c r="BB457" s="125"/>
      <c r="BC457" s="125"/>
      <c r="BD457" s="125"/>
      <c r="BE457" s="125"/>
      <c r="BF457" s="125"/>
      <c r="BG457" s="125"/>
      <c r="BH457" s="125"/>
      <c r="BI457" s="125"/>
      <c r="BJ457" s="125"/>
      <c r="BK457" s="125"/>
      <c r="BL457" s="125"/>
      <c r="BM457" s="125"/>
      <c r="BN457" s="125"/>
      <c r="BO457" s="125"/>
      <c r="BP457" s="125"/>
      <c r="BQ457" s="125"/>
      <c r="BR457" s="125"/>
      <c r="BS457" s="125"/>
      <c r="BT457" s="125"/>
      <c r="BU457" s="125"/>
    </row>
    <row r="458" spans="15:73"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  <c r="AV458" s="125"/>
      <c r="AW458" s="125"/>
      <c r="AX458" s="125"/>
      <c r="AY458" s="125"/>
      <c r="AZ458" s="125"/>
      <c r="BA458" s="125"/>
      <c r="BB458" s="125"/>
      <c r="BC458" s="125"/>
      <c r="BD458" s="125"/>
      <c r="BE458" s="125"/>
      <c r="BF458" s="125"/>
      <c r="BG458" s="125"/>
      <c r="BH458" s="125"/>
      <c r="BI458" s="125"/>
      <c r="BJ458" s="125"/>
      <c r="BK458" s="125"/>
      <c r="BL458" s="125"/>
      <c r="BM458" s="125"/>
      <c r="BN458" s="125"/>
      <c r="BO458" s="125"/>
      <c r="BP458" s="125"/>
      <c r="BQ458" s="125"/>
      <c r="BR458" s="125"/>
      <c r="BS458" s="125"/>
      <c r="BT458" s="125"/>
      <c r="BU458" s="125"/>
    </row>
    <row r="459" spans="15:73"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  <c r="AV459" s="125"/>
      <c r="AW459" s="125"/>
      <c r="AX459" s="125"/>
      <c r="AY459" s="125"/>
      <c r="AZ459" s="125"/>
      <c r="BA459" s="125"/>
      <c r="BB459" s="125"/>
      <c r="BC459" s="125"/>
      <c r="BD459" s="125"/>
      <c r="BE459" s="125"/>
      <c r="BF459" s="125"/>
      <c r="BG459" s="125"/>
      <c r="BH459" s="125"/>
      <c r="BI459" s="125"/>
      <c r="BJ459" s="125"/>
      <c r="BK459" s="125"/>
      <c r="BL459" s="125"/>
      <c r="BM459" s="125"/>
      <c r="BN459" s="125"/>
      <c r="BO459" s="125"/>
      <c r="BP459" s="125"/>
      <c r="BQ459" s="125"/>
      <c r="BR459" s="125"/>
      <c r="BS459" s="125"/>
      <c r="BT459" s="125"/>
      <c r="BU459" s="125"/>
    </row>
    <row r="460" spans="15:73"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  <c r="AV460" s="125"/>
      <c r="AW460" s="125"/>
      <c r="AX460" s="125"/>
      <c r="AY460" s="125"/>
      <c r="AZ460" s="125"/>
      <c r="BA460" s="125"/>
      <c r="BB460" s="125"/>
      <c r="BC460" s="125"/>
      <c r="BD460" s="125"/>
      <c r="BE460" s="125"/>
      <c r="BF460" s="125"/>
      <c r="BG460" s="125"/>
      <c r="BH460" s="125"/>
      <c r="BI460" s="125"/>
      <c r="BJ460" s="125"/>
      <c r="BK460" s="125"/>
      <c r="BL460" s="125"/>
      <c r="BM460" s="125"/>
      <c r="BN460" s="125"/>
      <c r="BO460" s="125"/>
      <c r="BP460" s="125"/>
      <c r="BQ460" s="125"/>
      <c r="BR460" s="125"/>
      <c r="BS460" s="125"/>
      <c r="BT460" s="125"/>
      <c r="BU460" s="125"/>
    </row>
    <row r="461" spans="15:73"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  <c r="AV461" s="125"/>
      <c r="AW461" s="125"/>
      <c r="AX461" s="125"/>
      <c r="AY461" s="125"/>
      <c r="AZ461" s="125"/>
      <c r="BA461" s="125"/>
      <c r="BB461" s="125"/>
      <c r="BC461" s="125"/>
      <c r="BD461" s="125"/>
      <c r="BE461" s="125"/>
      <c r="BF461" s="125"/>
      <c r="BG461" s="125"/>
      <c r="BH461" s="125"/>
      <c r="BI461" s="125"/>
      <c r="BJ461" s="125"/>
      <c r="BK461" s="125"/>
      <c r="BL461" s="125"/>
      <c r="BM461" s="125"/>
      <c r="BN461" s="125"/>
      <c r="BO461" s="125"/>
      <c r="BP461" s="125"/>
      <c r="BQ461" s="125"/>
      <c r="BR461" s="125"/>
      <c r="BS461" s="125"/>
      <c r="BT461" s="125"/>
      <c r="BU461" s="125"/>
    </row>
    <row r="462" spans="15:73"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  <c r="AV462" s="125"/>
      <c r="AW462" s="125"/>
      <c r="AX462" s="125"/>
      <c r="AY462" s="125"/>
      <c r="AZ462" s="125"/>
      <c r="BA462" s="125"/>
      <c r="BB462" s="125"/>
      <c r="BC462" s="125"/>
      <c r="BD462" s="125"/>
      <c r="BE462" s="125"/>
      <c r="BF462" s="125"/>
      <c r="BG462" s="125"/>
      <c r="BH462" s="125"/>
      <c r="BI462" s="125"/>
      <c r="BJ462" s="125"/>
      <c r="BK462" s="125"/>
      <c r="BL462" s="125"/>
      <c r="BM462" s="125"/>
      <c r="BN462" s="125"/>
      <c r="BO462" s="125"/>
      <c r="BP462" s="125"/>
      <c r="BQ462" s="125"/>
      <c r="BR462" s="125"/>
      <c r="BS462" s="125"/>
      <c r="BT462" s="125"/>
      <c r="BU462" s="125"/>
    </row>
    <row r="463" spans="15:73"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  <c r="AV463" s="125"/>
      <c r="AW463" s="125"/>
      <c r="AX463" s="125"/>
      <c r="AY463" s="125"/>
      <c r="AZ463" s="125"/>
      <c r="BA463" s="125"/>
      <c r="BB463" s="125"/>
      <c r="BC463" s="125"/>
      <c r="BD463" s="125"/>
      <c r="BE463" s="125"/>
      <c r="BF463" s="125"/>
      <c r="BG463" s="125"/>
      <c r="BH463" s="125"/>
      <c r="BI463" s="125"/>
      <c r="BJ463" s="125"/>
      <c r="BK463" s="125"/>
      <c r="BL463" s="125"/>
      <c r="BM463" s="125"/>
      <c r="BN463" s="125"/>
      <c r="BO463" s="125"/>
      <c r="BP463" s="125"/>
      <c r="BQ463" s="125"/>
      <c r="BR463" s="125"/>
      <c r="BS463" s="125"/>
      <c r="BT463" s="125"/>
      <c r="BU463" s="125"/>
    </row>
    <row r="464" spans="15:73"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  <c r="AV464" s="125"/>
      <c r="AW464" s="125"/>
      <c r="AX464" s="125"/>
      <c r="AY464" s="125"/>
      <c r="AZ464" s="125"/>
      <c r="BA464" s="125"/>
      <c r="BB464" s="125"/>
      <c r="BC464" s="125"/>
      <c r="BD464" s="125"/>
      <c r="BE464" s="125"/>
      <c r="BF464" s="125"/>
      <c r="BG464" s="125"/>
      <c r="BH464" s="125"/>
      <c r="BI464" s="125"/>
      <c r="BJ464" s="125"/>
      <c r="BK464" s="125"/>
      <c r="BL464" s="125"/>
      <c r="BM464" s="125"/>
      <c r="BN464" s="125"/>
      <c r="BO464" s="125"/>
      <c r="BP464" s="125"/>
      <c r="BQ464" s="125"/>
      <c r="BR464" s="125"/>
      <c r="BS464" s="125"/>
      <c r="BT464" s="125"/>
      <c r="BU464" s="125"/>
    </row>
    <row r="465" spans="15:73"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  <c r="AV465" s="125"/>
      <c r="AW465" s="125"/>
      <c r="AX465" s="125"/>
      <c r="AY465" s="125"/>
      <c r="AZ465" s="125"/>
      <c r="BA465" s="125"/>
      <c r="BB465" s="125"/>
      <c r="BC465" s="125"/>
      <c r="BD465" s="125"/>
      <c r="BE465" s="125"/>
      <c r="BF465" s="125"/>
      <c r="BG465" s="125"/>
      <c r="BH465" s="125"/>
      <c r="BI465" s="125"/>
      <c r="BJ465" s="125"/>
      <c r="BK465" s="125"/>
      <c r="BL465" s="125"/>
      <c r="BM465" s="125"/>
      <c r="BN465" s="125"/>
      <c r="BO465" s="125"/>
      <c r="BP465" s="125"/>
      <c r="BQ465" s="125"/>
      <c r="BR465" s="125"/>
      <c r="BS465" s="125"/>
      <c r="BT465" s="125"/>
      <c r="BU465" s="125"/>
    </row>
    <row r="466" spans="15:73"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  <c r="AV466" s="125"/>
      <c r="AW466" s="125"/>
      <c r="AX466" s="125"/>
      <c r="AY466" s="125"/>
      <c r="AZ466" s="125"/>
      <c r="BA466" s="125"/>
      <c r="BB466" s="125"/>
      <c r="BC466" s="125"/>
      <c r="BD466" s="125"/>
      <c r="BE466" s="125"/>
      <c r="BF466" s="125"/>
      <c r="BG466" s="125"/>
      <c r="BH466" s="125"/>
      <c r="BI466" s="125"/>
      <c r="BJ466" s="125"/>
      <c r="BK466" s="125"/>
      <c r="BL466" s="125"/>
      <c r="BM466" s="125"/>
      <c r="BN466" s="125"/>
      <c r="BO466" s="125"/>
      <c r="BP466" s="125"/>
      <c r="BQ466" s="125"/>
      <c r="BR466" s="125"/>
      <c r="BS466" s="125"/>
      <c r="BT466" s="125"/>
      <c r="BU466" s="125"/>
    </row>
    <row r="467" spans="15:73"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  <c r="AV467" s="125"/>
      <c r="AW467" s="125"/>
      <c r="AX467" s="125"/>
      <c r="AY467" s="125"/>
      <c r="AZ467" s="125"/>
      <c r="BA467" s="125"/>
      <c r="BB467" s="125"/>
      <c r="BC467" s="125"/>
      <c r="BD467" s="125"/>
      <c r="BE467" s="125"/>
      <c r="BF467" s="125"/>
      <c r="BG467" s="125"/>
      <c r="BH467" s="125"/>
      <c r="BI467" s="125"/>
      <c r="BJ467" s="125"/>
      <c r="BK467" s="125"/>
      <c r="BL467" s="125"/>
      <c r="BM467" s="125"/>
      <c r="BN467" s="125"/>
      <c r="BO467" s="125"/>
      <c r="BP467" s="125"/>
      <c r="BQ467" s="125"/>
      <c r="BR467" s="125"/>
      <c r="BS467" s="125"/>
      <c r="BT467" s="125"/>
      <c r="BU467" s="125"/>
    </row>
    <row r="468" spans="15:73"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  <c r="AV468" s="125"/>
      <c r="AW468" s="125"/>
      <c r="AX468" s="125"/>
      <c r="AY468" s="125"/>
      <c r="AZ468" s="125"/>
      <c r="BA468" s="125"/>
      <c r="BB468" s="125"/>
      <c r="BC468" s="125"/>
      <c r="BD468" s="125"/>
      <c r="BE468" s="125"/>
      <c r="BF468" s="125"/>
      <c r="BG468" s="125"/>
      <c r="BH468" s="125"/>
      <c r="BI468" s="125"/>
      <c r="BJ468" s="125"/>
      <c r="BK468" s="125"/>
      <c r="BL468" s="125"/>
      <c r="BM468" s="125"/>
      <c r="BN468" s="125"/>
      <c r="BO468" s="125"/>
      <c r="BP468" s="125"/>
      <c r="BQ468" s="125"/>
      <c r="BR468" s="125"/>
      <c r="BS468" s="125"/>
      <c r="BT468" s="125"/>
      <c r="BU468" s="125"/>
    </row>
    <row r="469" spans="15:73"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  <c r="AV469" s="125"/>
      <c r="AW469" s="125"/>
      <c r="AX469" s="125"/>
      <c r="AY469" s="125"/>
      <c r="AZ469" s="125"/>
      <c r="BA469" s="125"/>
      <c r="BB469" s="125"/>
      <c r="BC469" s="125"/>
      <c r="BD469" s="125"/>
      <c r="BE469" s="125"/>
      <c r="BF469" s="125"/>
      <c r="BG469" s="125"/>
      <c r="BH469" s="125"/>
      <c r="BI469" s="125"/>
      <c r="BJ469" s="125"/>
      <c r="BK469" s="125"/>
      <c r="BL469" s="125"/>
      <c r="BM469" s="125"/>
      <c r="BN469" s="125"/>
      <c r="BO469" s="125"/>
      <c r="BP469" s="125"/>
      <c r="BQ469" s="125"/>
      <c r="BR469" s="125"/>
      <c r="BS469" s="125"/>
      <c r="BT469" s="125"/>
      <c r="BU469" s="125"/>
    </row>
    <row r="470" spans="15:73"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  <c r="AV470" s="125"/>
      <c r="AW470" s="125"/>
      <c r="AX470" s="125"/>
      <c r="AY470" s="125"/>
      <c r="AZ470" s="125"/>
      <c r="BA470" s="125"/>
      <c r="BB470" s="125"/>
      <c r="BC470" s="125"/>
      <c r="BD470" s="125"/>
      <c r="BE470" s="125"/>
      <c r="BF470" s="125"/>
      <c r="BG470" s="125"/>
      <c r="BH470" s="125"/>
      <c r="BI470" s="125"/>
      <c r="BJ470" s="125"/>
      <c r="BK470" s="125"/>
      <c r="BL470" s="125"/>
      <c r="BM470" s="125"/>
      <c r="BN470" s="125"/>
      <c r="BO470" s="125"/>
      <c r="BP470" s="125"/>
      <c r="BQ470" s="125"/>
      <c r="BR470" s="125"/>
      <c r="BS470" s="125"/>
      <c r="BT470" s="125"/>
      <c r="BU470" s="125"/>
    </row>
    <row r="471" spans="15:73"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  <c r="AV471" s="125"/>
      <c r="AW471" s="125"/>
      <c r="AX471" s="125"/>
      <c r="AY471" s="125"/>
      <c r="AZ471" s="125"/>
      <c r="BA471" s="125"/>
      <c r="BB471" s="125"/>
      <c r="BC471" s="125"/>
      <c r="BD471" s="125"/>
      <c r="BE471" s="125"/>
      <c r="BF471" s="125"/>
      <c r="BG471" s="125"/>
      <c r="BH471" s="125"/>
      <c r="BI471" s="125"/>
      <c r="BJ471" s="125"/>
      <c r="BK471" s="125"/>
      <c r="BL471" s="125"/>
      <c r="BM471" s="125"/>
      <c r="BN471" s="125"/>
      <c r="BO471" s="125"/>
      <c r="BP471" s="125"/>
      <c r="BQ471" s="125"/>
      <c r="BR471" s="125"/>
      <c r="BS471" s="125"/>
      <c r="BT471" s="125"/>
      <c r="BU471" s="125"/>
    </row>
    <row r="472" spans="15:73"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  <c r="AV472" s="125"/>
      <c r="AW472" s="125"/>
      <c r="AX472" s="125"/>
      <c r="AY472" s="125"/>
      <c r="AZ472" s="125"/>
      <c r="BA472" s="125"/>
      <c r="BB472" s="125"/>
      <c r="BC472" s="125"/>
      <c r="BD472" s="125"/>
      <c r="BE472" s="125"/>
      <c r="BF472" s="125"/>
      <c r="BG472" s="125"/>
      <c r="BH472" s="125"/>
      <c r="BI472" s="125"/>
      <c r="BJ472" s="125"/>
      <c r="BK472" s="125"/>
      <c r="BL472" s="125"/>
      <c r="BM472" s="125"/>
      <c r="BN472" s="125"/>
      <c r="BO472" s="125"/>
      <c r="BP472" s="125"/>
      <c r="BQ472" s="125"/>
      <c r="BR472" s="125"/>
      <c r="BS472" s="125"/>
      <c r="BT472" s="125"/>
      <c r="BU472" s="125"/>
    </row>
    <row r="473" spans="15:73"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F473" s="125"/>
      <c r="AG473" s="125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  <c r="AV473" s="125"/>
      <c r="AW473" s="125"/>
      <c r="AX473" s="125"/>
      <c r="AY473" s="125"/>
      <c r="AZ473" s="125"/>
      <c r="BA473" s="125"/>
      <c r="BB473" s="125"/>
      <c r="BC473" s="125"/>
      <c r="BD473" s="125"/>
      <c r="BE473" s="125"/>
      <c r="BF473" s="125"/>
      <c r="BG473" s="125"/>
      <c r="BH473" s="125"/>
      <c r="BI473" s="125"/>
      <c r="BJ473" s="125"/>
      <c r="BK473" s="125"/>
      <c r="BL473" s="125"/>
      <c r="BM473" s="125"/>
      <c r="BN473" s="125"/>
      <c r="BO473" s="125"/>
      <c r="BP473" s="125"/>
      <c r="BQ473" s="125"/>
      <c r="BR473" s="125"/>
      <c r="BS473" s="125"/>
      <c r="BT473" s="125"/>
      <c r="BU473" s="125"/>
    </row>
    <row r="474" spans="15:73"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F474" s="125"/>
      <c r="AG474" s="125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  <c r="AV474" s="125"/>
      <c r="AW474" s="125"/>
      <c r="AX474" s="125"/>
      <c r="AY474" s="125"/>
      <c r="AZ474" s="125"/>
      <c r="BA474" s="125"/>
      <c r="BB474" s="125"/>
      <c r="BC474" s="125"/>
      <c r="BD474" s="125"/>
      <c r="BE474" s="125"/>
      <c r="BF474" s="125"/>
      <c r="BG474" s="125"/>
      <c r="BH474" s="125"/>
      <c r="BI474" s="125"/>
      <c r="BJ474" s="125"/>
      <c r="BK474" s="125"/>
      <c r="BL474" s="125"/>
      <c r="BM474" s="125"/>
      <c r="BN474" s="125"/>
      <c r="BO474" s="125"/>
      <c r="BP474" s="125"/>
      <c r="BQ474" s="125"/>
      <c r="BR474" s="125"/>
      <c r="BS474" s="125"/>
      <c r="BT474" s="125"/>
      <c r="BU474" s="125"/>
    </row>
    <row r="475" spans="15:73"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F475" s="125"/>
      <c r="AG475" s="125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  <c r="AV475" s="125"/>
      <c r="AW475" s="125"/>
      <c r="AX475" s="125"/>
      <c r="AY475" s="125"/>
      <c r="AZ475" s="125"/>
      <c r="BA475" s="125"/>
      <c r="BB475" s="125"/>
      <c r="BC475" s="125"/>
      <c r="BD475" s="125"/>
      <c r="BE475" s="125"/>
      <c r="BF475" s="125"/>
      <c r="BG475" s="125"/>
      <c r="BH475" s="125"/>
      <c r="BI475" s="125"/>
      <c r="BJ475" s="125"/>
      <c r="BK475" s="125"/>
      <c r="BL475" s="125"/>
      <c r="BM475" s="125"/>
      <c r="BN475" s="125"/>
      <c r="BO475" s="125"/>
      <c r="BP475" s="125"/>
      <c r="BQ475" s="125"/>
      <c r="BR475" s="125"/>
      <c r="BS475" s="125"/>
      <c r="BT475" s="125"/>
      <c r="BU475" s="125"/>
    </row>
    <row r="476" spans="15:73"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F476" s="125"/>
      <c r="AG476" s="125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  <c r="AV476" s="125"/>
      <c r="AW476" s="125"/>
      <c r="AX476" s="125"/>
      <c r="AY476" s="125"/>
      <c r="AZ476" s="125"/>
      <c r="BA476" s="125"/>
      <c r="BB476" s="125"/>
      <c r="BC476" s="125"/>
      <c r="BD476" s="125"/>
      <c r="BE476" s="125"/>
      <c r="BF476" s="125"/>
      <c r="BG476" s="125"/>
      <c r="BH476" s="125"/>
      <c r="BI476" s="125"/>
      <c r="BJ476" s="125"/>
      <c r="BK476" s="125"/>
      <c r="BL476" s="125"/>
      <c r="BM476" s="125"/>
      <c r="BN476" s="125"/>
      <c r="BO476" s="125"/>
      <c r="BP476" s="125"/>
      <c r="BQ476" s="125"/>
      <c r="BR476" s="125"/>
      <c r="BS476" s="125"/>
      <c r="BT476" s="125"/>
      <c r="BU476" s="125"/>
    </row>
    <row r="477" spans="15:73"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F477" s="125"/>
      <c r="AG477" s="125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  <c r="AV477" s="125"/>
      <c r="AW477" s="125"/>
      <c r="AX477" s="125"/>
      <c r="AY477" s="125"/>
      <c r="AZ477" s="125"/>
      <c r="BA477" s="125"/>
      <c r="BB477" s="125"/>
      <c r="BC477" s="125"/>
      <c r="BD477" s="125"/>
      <c r="BE477" s="125"/>
      <c r="BF477" s="125"/>
      <c r="BG477" s="125"/>
      <c r="BH477" s="125"/>
      <c r="BI477" s="125"/>
      <c r="BJ477" s="125"/>
      <c r="BK477" s="125"/>
      <c r="BL477" s="125"/>
      <c r="BM477" s="125"/>
      <c r="BN477" s="125"/>
      <c r="BO477" s="125"/>
      <c r="BP477" s="125"/>
      <c r="BQ477" s="125"/>
      <c r="BR477" s="125"/>
      <c r="BS477" s="125"/>
      <c r="BT477" s="125"/>
      <c r="BU477" s="125"/>
    </row>
    <row r="478" spans="15:73"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F478" s="125"/>
      <c r="AG478" s="125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  <c r="AV478" s="125"/>
      <c r="AW478" s="125"/>
      <c r="AX478" s="125"/>
      <c r="AY478" s="125"/>
      <c r="AZ478" s="125"/>
      <c r="BA478" s="125"/>
      <c r="BB478" s="125"/>
      <c r="BC478" s="125"/>
      <c r="BD478" s="125"/>
      <c r="BE478" s="125"/>
      <c r="BF478" s="125"/>
      <c r="BG478" s="125"/>
      <c r="BH478" s="125"/>
      <c r="BI478" s="125"/>
      <c r="BJ478" s="125"/>
      <c r="BK478" s="125"/>
      <c r="BL478" s="125"/>
      <c r="BM478" s="125"/>
      <c r="BN478" s="125"/>
      <c r="BO478" s="125"/>
      <c r="BP478" s="125"/>
      <c r="BQ478" s="125"/>
      <c r="BR478" s="125"/>
      <c r="BS478" s="125"/>
      <c r="BT478" s="125"/>
      <c r="BU478" s="125"/>
    </row>
    <row r="479" spans="15:73"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F479" s="125"/>
      <c r="AG479" s="125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  <c r="AV479" s="125"/>
      <c r="AW479" s="125"/>
      <c r="AX479" s="125"/>
      <c r="AY479" s="125"/>
      <c r="AZ479" s="125"/>
      <c r="BA479" s="125"/>
      <c r="BB479" s="125"/>
      <c r="BC479" s="125"/>
      <c r="BD479" s="125"/>
      <c r="BE479" s="125"/>
      <c r="BF479" s="125"/>
      <c r="BG479" s="125"/>
      <c r="BH479" s="125"/>
      <c r="BI479" s="125"/>
      <c r="BJ479" s="125"/>
      <c r="BK479" s="125"/>
      <c r="BL479" s="125"/>
      <c r="BM479" s="125"/>
      <c r="BN479" s="125"/>
      <c r="BO479" s="125"/>
      <c r="BP479" s="125"/>
      <c r="BQ479" s="125"/>
      <c r="BR479" s="125"/>
      <c r="BS479" s="125"/>
      <c r="BT479" s="125"/>
      <c r="BU479" s="125"/>
    </row>
    <row r="480" spans="15:73"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F480" s="125"/>
      <c r="AG480" s="125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  <c r="AV480" s="125"/>
      <c r="AW480" s="125"/>
      <c r="AX480" s="125"/>
      <c r="AY480" s="125"/>
      <c r="AZ480" s="125"/>
      <c r="BA480" s="125"/>
      <c r="BB480" s="125"/>
      <c r="BC480" s="125"/>
      <c r="BD480" s="125"/>
      <c r="BE480" s="125"/>
      <c r="BF480" s="125"/>
      <c r="BG480" s="125"/>
      <c r="BH480" s="125"/>
      <c r="BI480" s="125"/>
      <c r="BJ480" s="125"/>
      <c r="BK480" s="125"/>
      <c r="BL480" s="125"/>
      <c r="BM480" s="125"/>
      <c r="BN480" s="125"/>
      <c r="BO480" s="125"/>
      <c r="BP480" s="125"/>
      <c r="BQ480" s="125"/>
      <c r="BR480" s="125"/>
      <c r="BS480" s="125"/>
      <c r="BT480" s="125"/>
      <c r="BU480" s="125"/>
    </row>
    <row r="481" spans="15:73"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25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  <c r="AV481" s="125"/>
      <c r="AW481" s="125"/>
      <c r="AX481" s="125"/>
      <c r="AY481" s="125"/>
      <c r="AZ481" s="125"/>
      <c r="BA481" s="125"/>
      <c r="BB481" s="125"/>
      <c r="BC481" s="125"/>
      <c r="BD481" s="125"/>
      <c r="BE481" s="125"/>
      <c r="BF481" s="125"/>
      <c r="BG481" s="125"/>
      <c r="BH481" s="125"/>
      <c r="BI481" s="125"/>
      <c r="BJ481" s="125"/>
      <c r="BK481" s="125"/>
      <c r="BL481" s="125"/>
      <c r="BM481" s="125"/>
      <c r="BN481" s="125"/>
      <c r="BO481" s="125"/>
      <c r="BP481" s="125"/>
      <c r="BQ481" s="125"/>
      <c r="BR481" s="125"/>
      <c r="BS481" s="125"/>
      <c r="BT481" s="125"/>
      <c r="BU481" s="125"/>
    </row>
    <row r="482" spans="15:73"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F482" s="125"/>
      <c r="AG482" s="125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  <c r="AV482" s="125"/>
      <c r="AW482" s="125"/>
      <c r="AX482" s="125"/>
      <c r="AY482" s="125"/>
      <c r="AZ482" s="125"/>
      <c r="BA482" s="125"/>
      <c r="BB482" s="125"/>
      <c r="BC482" s="125"/>
      <c r="BD482" s="125"/>
      <c r="BE482" s="125"/>
      <c r="BF482" s="125"/>
      <c r="BG482" s="125"/>
      <c r="BH482" s="125"/>
      <c r="BI482" s="125"/>
      <c r="BJ482" s="125"/>
      <c r="BK482" s="125"/>
      <c r="BL482" s="125"/>
      <c r="BM482" s="125"/>
      <c r="BN482" s="125"/>
      <c r="BO482" s="125"/>
      <c r="BP482" s="125"/>
      <c r="BQ482" s="125"/>
      <c r="BR482" s="125"/>
      <c r="BS482" s="125"/>
      <c r="BT482" s="125"/>
      <c r="BU482" s="125"/>
    </row>
    <row r="483" spans="15:73"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F483" s="125"/>
      <c r="AG483" s="125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  <c r="AV483" s="125"/>
      <c r="AW483" s="125"/>
      <c r="AX483" s="125"/>
      <c r="AY483" s="125"/>
      <c r="AZ483" s="125"/>
      <c r="BA483" s="125"/>
      <c r="BB483" s="125"/>
      <c r="BC483" s="125"/>
      <c r="BD483" s="125"/>
      <c r="BE483" s="125"/>
      <c r="BF483" s="125"/>
      <c r="BG483" s="125"/>
      <c r="BH483" s="125"/>
      <c r="BI483" s="125"/>
      <c r="BJ483" s="125"/>
      <c r="BK483" s="125"/>
      <c r="BL483" s="125"/>
      <c r="BM483" s="125"/>
      <c r="BN483" s="125"/>
      <c r="BO483" s="125"/>
      <c r="BP483" s="125"/>
      <c r="BQ483" s="125"/>
      <c r="BR483" s="125"/>
      <c r="BS483" s="125"/>
      <c r="BT483" s="125"/>
      <c r="BU483" s="125"/>
    </row>
    <row r="484" spans="15:73"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F484" s="125"/>
      <c r="AG484" s="125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  <c r="AV484" s="125"/>
      <c r="AW484" s="125"/>
      <c r="AX484" s="125"/>
      <c r="AY484" s="125"/>
      <c r="AZ484" s="125"/>
      <c r="BA484" s="125"/>
      <c r="BB484" s="125"/>
      <c r="BC484" s="125"/>
      <c r="BD484" s="125"/>
      <c r="BE484" s="125"/>
      <c r="BF484" s="125"/>
      <c r="BG484" s="125"/>
      <c r="BH484" s="125"/>
      <c r="BI484" s="125"/>
      <c r="BJ484" s="125"/>
      <c r="BK484" s="125"/>
      <c r="BL484" s="125"/>
      <c r="BM484" s="125"/>
      <c r="BN484" s="125"/>
      <c r="BO484" s="125"/>
      <c r="BP484" s="125"/>
      <c r="BQ484" s="125"/>
      <c r="BR484" s="125"/>
      <c r="BS484" s="125"/>
      <c r="BT484" s="125"/>
      <c r="BU484" s="125"/>
    </row>
    <row r="485" spans="15:73"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F485" s="125"/>
      <c r="AG485" s="125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  <c r="AV485" s="125"/>
      <c r="AW485" s="125"/>
      <c r="AX485" s="125"/>
      <c r="AY485" s="125"/>
      <c r="AZ485" s="125"/>
      <c r="BA485" s="125"/>
      <c r="BB485" s="125"/>
      <c r="BC485" s="125"/>
      <c r="BD485" s="125"/>
      <c r="BE485" s="125"/>
      <c r="BF485" s="125"/>
      <c r="BG485" s="125"/>
      <c r="BH485" s="125"/>
      <c r="BI485" s="125"/>
      <c r="BJ485" s="125"/>
      <c r="BK485" s="125"/>
      <c r="BL485" s="125"/>
      <c r="BM485" s="125"/>
      <c r="BN485" s="125"/>
      <c r="BO485" s="125"/>
      <c r="BP485" s="125"/>
      <c r="BQ485" s="125"/>
      <c r="BR485" s="125"/>
      <c r="BS485" s="125"/>
      <c r="BT485" s="125"/>
      <c r="BU485" s="125"/>
    </row>
    <row r="486" spans="15:73"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F486" s="125"/>
      <c r="AG486" s="125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  <c r="AV486" s="125"/>
      <c r="AW486" s="125"/>
      <c r="AX486" s="125"/>
      <c r="AY486" s="125"/>
      <c r="AZ486" s="125"/>
      <c r="BA486" s="125"/>
      <c r="BB486" s="125"/>
      <c r="BC486" s="125"/>
      <c r="BD486" s="125"/>
      <c r="BE486" s="125"/>
      <c r="BF486" s="125"/>
      <c r="BG486" s="125"/>
      <c r="BH486" s="125"/>
      <c r="BI486" s="125"/>
      <c r="BJ486" s="125"/>
      <c r="BK486" s="125"/>
      <c r="BL486" s="125"/>
      <c r="BM486" s="125"/>
      <c r="BN486" s="125"/>
      <c r="BO486" s="125"/>
      <c r="BP486" s="125"/>
      <c r="BQ486" s="125"/>
      <c r="BR486" s="125"/>
      <c r="BS486" s="125"/>
      <c r="BT486" s="125"/>
      <c r="BU486" s="125"/>
    </row>
    <row r="487" spans="15:73"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F487" s="125"/>
      <c r="AG487" s="125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  <c r="AV487" s="125"/>
      <c r="AW487" s="125"/>
      <c r="AX487" s="125"/>
      <c r="AY487" s="125"/>
      <c r="AZ487" s="125"/>
      <c r="BA487" s="125"/>
      <c r="BB487" s="125"/>
      <c r="BC487" s="125"/>
      <c r="BD487" s="125"/>
      <c r="BE487" s="125"/>
      <c r="BF487" s="125"/>
      <c r="BG487" s="125"/>
      <c r="BH487" s="125"/>
      <c r="BI487" s="125"/>
      <c r="BJ487" s="125"/>
      <c r="BK487" s="125"/>
      <c r="BL487" s="125"/>
      <c r="BM487" s="125"/>
      <c r="BN487" s="125"/>
      <c r="BO487" s="125"/>
      <c r="BP487" s="125"/>
      <c r="BQ487" s="125"/>
      <c r="BR487" s="125"/>
      <c r="BS487" s="125"/>
      <c r="BT487" s="125"/>
      <c r="BU487" s="125"/>
    </row>
    <row r="488" spans="15:73"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F488" s="125"/>
      <c r="AG488" s="125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  <c r="AV488" s="125"/>
      <c r="AW488" s="125"/>
      <c r="AX488" s="125"/>
      <c r="AY488" s="125"/>
      <c r="AZ488" s="125"/>
      <c r="BA488" s="125"/>
      <c r="BB488" s="125"/>
      <c r="BC488" s="125"/>
      <c r="BD488" s="125"/>
      <c r="BE488" s="125"/>
      <c r="BF488" s="125"/>
      <c r="BG488" s="125"/>
      <c r="BH488" s="125"/>
      <c r="BI488" s="125"/>
      <c r="BJ488" s="125"/>
      <c r="BK488" s="125"/>
      <c r="BL488" s="125"/>
      <c r="BM488" s="125"/>
      <c r="BN488" s="125"/>
      <c r="BO488" s="125"/>
      <c r="BP488" s="125"/>
      <c r="BQ488" s="125"/>
      <c r="BR488" s="125"/>
      <c r="BS488" s="125"/>
      <c r="BT488" s="125"/>
      <c r="BU488" s="125"/>
    </row>
    <row r="489" spans="15:73"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F489" s="125"/>
      <c r="AG489" s="125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  <c r="AV489" s="125"/>
      <c r="AW489" s="125"/>
      <c r="AX489" s="125"/>
      <c r="AY489" s="125"/>
      <c r="AZ489" s="125"/>
      <c r="BA489" s="125"/>
      <c r="BB489" s="125"/>
      <c r="BC489" s="125"/>
      <c r="BD489" s="125"/>
      <c r="BE489" s="125"/>
      <c r="BF489" s="125"/>
      <c r="BG489" s="125"/>
      <c r="BH489" s="125"/>
      <c r="BI489" s="125"/>
      <c r="BJ489" s="125"/>
      <c r="BK489" s="125"/>
      <c r="BL489" s="125"/>
      <c r="BM489" s="125"/>
      <c r="BN489" s="125"/>
      <c r="BO489" s="125"/>
      <c r="BP489" s="125"/>
      <c r="BQ489" s="125"/>
      <c r="BR489" s="125"/>
      <c r="BS489" s="125"/>
      <c r="BT489" s="125"/>
      <c r="BU489" s="125"/>
    </row>
    <row r="490" spans="15:73"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F490" s="125"/>
      <c r="AG490" s="125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  <c r="AV490" s="125"/>
      <c r="AW490" s="125"/>
      <c r="AX490" s="125"/>
      <c r="AY490" s="125"/>
      <c r="AZ490" s="125"/>
      <c r="BA490" s="125"/>
      <c r="BB490" s="125"/>
      <c r="BC490" s="125"/>
      <c r="BD490" s="125"/>
      <c r="BE490" s="125"/>
      <c r="BF490" s="125"/>
      <c r="BG490" s="125"/>
      <c r="BH490" s="125"/>
      <c r="BI490" s="125"/>
      <c r="BJ490" s="125"/>
      <c r="BK490" s="125"/>
      <c r="BL490" s="125"/>
      <c r="BM490" s="125"/>
      <c r="BN490" s="125"/>
      <c r="BO490" s="125"/>
      <c r="BP490" s="125"/>
      <c r="BQ490" s="125"/>
      <c r="BR490" s="125"/>
      <c r="BS490" s="125"/>
      <c r="BT490" s="125"/>
      <c r="BU490" s="125"/>
    </row>
    <row r="491" spans="15:73"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F491" s="125"/>
      <c r="AG491" s="125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  <c r="AV491" s="125"/>
      <c r="AW491" s="125"/>
      <c r="AX491" s="125"/>
      <c r="AY491" s="125"/>
      <c r="AZ491" s="125"/>
      <c r="BA491" s="125"/>
      <c r="BB491" s="125"/>
      <c r="BC491" s="125"/>
      <c r="BD491" s="125"/>
      <c r="BE491" s="125"/>
      <c r="BF491" s="125"/>
      <c r="BG491" s="125"/>
      <c r="BH491" s="125"/>
      <c r="BI491" s="125"/>
      <c r="BJ491" s="125"/>
      <c r="BK491" s="125"/>
      <c r="BL491" s="125"/>
      <c r="BM491" s="125"/>
      <c r="BN491" s="125"/>
      <c r="BO491" s="125"/>
      <c r="BP491" s="125"/>
      <c r="BQ491" s="125"/>
      <c r="BR491" s="125"/>
      <c r="BS491" s="125"/>
      <c r="BT491" s="125"/>
      <c r="BU491" s="125"/>
    </row>
    <row r="492" spans="15:73"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F492" s="125"/>
      <c r="AG492" s="125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  <c r="AV492" s="125"/>
      <c r="AW492" s="125"/>
      <c r="AX492" s="125"/>
      <c r="AY492" s="125"/>
      <c r="AZ492" s="125"/>
      <c r="BA492" s="125"/>
      <c r="BB492" s="125"/>
      <c r="BC492" s="125"/>
      <c r="BD492" s="125"/>
      <c r="BE492" s="125"/>
      <c r="BF492" s="125"/>
      <c r="BG492" s="125"/>
      <c r="BH492" s="125"/>
      <c r="BI492" s="125"/>
      <c r="BJ492" s="125"/>
      <c r="BK492" s="125"/>
      <c r="BL492" s="125"/>
      <c r="BM492" s="125"/>
      <c r="BN492" s="125"/>
      <c r="BO492" s="125"/>
      <c r="BP492" s="125"/>
      <c r="BQ492" s="125"/>
      <c r="BR492" s="125"/>
      <c r="BS492" s="125"/>
      <c r="BT492" s="125"/>
      <c r="BU492" s="125"/>
    </row>
    <row r="493" spans="15:73"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F493" s="125"/>
      <c r="AG493" s="125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  <c r="AV493" s="125"/>
      <c r="AW493" s="125"/>
      <c r="AX493" s="125"/>
      <c r="AY493" s="125"/>
      <c r="AZ493" s="125"/>
      <c r="BA493" s="125"/>
      <c r="BB493" s="125"/>
      <c r="BC493" s="125"/>
      <c r="BD493" s="125"/>
      <c r="BE493" s="125"/>
      <c r="BF493" s="125"/>
      <c r="BG493" s="125"/>
      <c r="BH493" s="125"/>
      <c r="BI493" s="125"/>
      <c r="BJ493" s="125"/>
      <c r="BK493" s="125"/>
      <c r="BL493" s="125"/>
      <c r="BM493" s="125"/>
      <c r="BN493" s="125"/>
      <c r="BO493" s="125"/>
      <c r="BP493" s="125"/>
      <c r="BQ493" s="125"/>
      <c r="BR493" s="125"/>
      <c r="BS493" s="125"/>
      <c r="BT493" s="125"/>
      <c r="BU493" s="125"/>
    </row>
    <row r="494" spans="15:73"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  <c r="AV494" s="125"/>
      <c r="AW494" s="125"/>
      <c r="AX494" s="125"/>
      <c r="AY494" s="125"/>
      <c r="AZ494" s="125"/>
      <c r="BA494" s="125"/>
      <c r="BB494" s="125"/>
      <c r="BC494" s="125"/>
      <c r="BD494" s="125"/>
      <c r="BE494" s="125"/>
      <c r="BF494" s="125"/>
      <c r="BG494" s="125"/>
      <c r="BH494" s="125"/>
      <c r="BI494" s="125"/>
      <c r="BJ494" s="125"/>
      <c r="BK494" s="125"/>
      <c r="BL494" s="125"/>
      <c r="BM494" s="125"/>
      <c r="BN494" s="125"/>
      <c r="BO494" s="125"/>
      <c r="BP494" s="125"/>
      <c r="BQ494" s="125"/>
      <c r="BR494" s="125"/>
      <c r="BS494" s="125"/>
      <c r="BT494" s="125"/>
      <c r="BU494" s="125"/>
    </row>
    <row r="495" spans="15:73"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F495" s="125"/>
      <c r="AG495" s="125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  <c r="AV495" s="125"/>
      <c r="AW495" s="125"/>
      <c r="AX495" s="125"/>
      <c r="AY495" s="125"/>
      <c r="AZ495" s="125"/>
      <c r="BA495" s="125"/>
      <c r="BB495" s="125"/>
      <c r="BC495" s="125"/>
      <c r="BD495" s="125"/>
      <c r="BE495" s="125"/>
      <c r="BF495" s="125"/>
      <c r="BG495" s="125"/>
      <c r="BH495" s="125"/>
      <c r="BI495" s="125"/>
      <c r="BJ495" s="125"/>
      <c r="BK495" s="125"/>
      <c r="BL495" s="125"/>
      <c r="BM495" s="125"/>
      <c r="BN495" s="125"/>
      <c r="BO495" s="125"/>
      <c r="BP495" s="125"/>
      <c r="BQ495" s="125"/>
      <c r="BR495" s="125"/>
      <c r="BS495" s="125"/>
      <c r="BT495" s="125"/>
      <c r="BU495" s="125"/>
    </row>
    <row r="496" spans="15:73"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F496" s="125"/>
      <c r="AG496" s="125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  <c r="AV496" s="125"/>
      <c r="AW496" s="125"/>
      <c r="AX496" s="125"/>
      <c r="AY496" s="125"/>
      <c r="AZ496" s="125"/>
      <c r="BA496" s="125"/>
      <c r="BB496" s="125"/>
      <c r="BC496" s="125"/>
      <c r="BD496" s="125"/>
      <c r="BE496" s="125"/>
      <c r="BF496" s="125"/>
      <c r="BG496" s="125"/>
      <c r="BH496" s="125"/>
      <c r="BI496" s="125"/>
      <c r="BJ496" s="125"/>
      <c r="BK496" s="125"/>
      <c r="BL496" s="125"/>
      <c r="BM496" s="125"/>
      <c r="BN496" s="125"/>
      <c r="BO496" s="125"/>
      <c r="BP496" s="125"/>
      <c r="BQ496" s="125"/>
      <c r="BR496" s="125"/>
      <c r="BS496" s="125"/>
      <c r="BT496" s="125"/>
      <c r="BU496" s="125"/>
    </row>
    <row r="497" spans="15:73"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F497" s="125"/>
      <c r="AG497" s="125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  <c r="AV497" s="125"/>
      <c r="AW497" s="125"/>
      <c r="AX497" s="125"/>
      <c r="AY497" s="125"/>
      <c r="AZ497" s="125"/>
      <c r="BA497" s="125"/>
      <c r="BB497" s="125"/>
      <c r="BC497" s="125"/>
      <c r="BD497" s="125"/>
      <c r="BE497" s="125"/>
      <c r="BF497" s="125"/>
      <c r="BG497" s="125"/>
      <c r="BH497" s="125"/>
      <c r="BI497" s="125"/>
      <c r="BJ497" s="125"/>
      <c r="BK497" s="125"/>
      <c r="BL497" s="125"/>
      <c r="BM497" s="125"/>
      <c r="BN497" s="125"/>
      <c r="BO497" s="125"/>
      <c r="BP497" s="125"/>
      <c r="BQ497" s="125"/>
      <c r="BR497" s="125"/>
      <c r="BS497" s="125"/>
      <c r="BT497" s="125"/>
      <c r="BU497" s="125"/>
    </row>
    <row r="498" spans="15:73"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F498" s="125"/>
      <c r="AG498" s="125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  <c r="AV498" s="125"/>
      <c r="AW498" s="125"/>
      <c r="AX498" s="125"/>
      <c r="AY498" s="125"/>
      <c r="AZ498" s="125"/>
      <c r="BA498" s="125"/>
      <c r="BB498" s="125"/>
      <c r="BC498" s="125"/>
      <c r="BD498" s="125"/>
      <c r="BE498" s="125"/>
      <c r="BF498" s="125"/>
      <c r="BG498" s="125"/>
      <c r="BH498" s="125"/>
      <c r="BI498" s="125"/>
      <c r="BJ498" s="125"/>
      <c r="BK498" s="125"/>
      <c r="BL498" s="125"/>
      <c r="BM498" s="125"/>
      <c r="BN498" s="125"/>
      <c r="BO498" s="125"/>
      <c r="BP498" s="125"/>
      <c r="BQ498" s="125"/>
      <c r="BR498" s="125"/>
      <c r="BS498" s="125"/>
      <c r="BT498" s="125"/>
      <c r="BU498" s="125"/>
    </row>
    <row r="499" spans="15:73"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F499" s="125"/>
      <c r="AG499" s="125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  <c r="AV499" s="125"/>
      <c r="AW499" s="125"/>
      <c r="AX499" s="125"/>
      <c r="AY499" s="125"/>
      <c r="AZ499" s="125"/>
      <c r="BA499" s="125"/>
      <c r="BB499" s="125"/>
      <c r="BC499" s="125"/>
      <c r="BD499" s="125"/>
      <c r="BE499" s="125"/>
      <c r="BF499" s="125"/>
      <c r="BG499" s="125"/>
      <c r="BH499" s="125"/>
      <c r="BI499" s="125"/>
      <c r="BJ499" s="125"/>
      <c r="BK499" s="125"/>
      <c r="BL499" s="125"/>
      <c r="BM499" s="125"/>
      <c r="BN499" s="125"/>
      <c r="BO499" s="125"/>
      <c r="BP499" s="125"/>
      <c r="BQ499" s="125"/>
      <c r="BR499" s="125"/>
      <c r="BS499" s="125"/>
      <c r="BT499" s="125"/>
      <c r="BU499" s="125"/>
    </row>
    <row r="500" spans="15:73"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F500" s="125"/>
      <c r="AG500" s="125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  <c r="AV500" s="125"/>
      <c r="AW500" s="125"/>
      <c r="AX500" s="125"/>
      <c r="AY500" s="125"/>
      <c r="AZ500" s="125"/>
      <c r="BA500" s="125"/>
      <c r="BB500" s="125"/>
      <c r="BC500" s="125"/>
      <c r="BD500" s="125"/>
      <c r="BE500" s="125"/>
      <c r="BF500" s="125"/>
      <c r="BG500" s="125"/>
      <c r="BH500" s="125"/>
      <c r="BI500" s="125"/>
      <c r="BJ500" s="125"/>
      <c r="BK500" s="125"/>
      <c r="BL500" s="125"/>
      <c r="BM500" s="125"/>
      <c r="BN500" s="125"/>
      <c r="BO500" s="125"/>
      <c r="BP500" s="125"/>
      <c r="BQ500" s="125"/>
      <c r="BR500" s="125"/>
      <c r="BS500" s="125"/>
      <c r="BT500" s="125"/>
      <c r="BU500" s="125"/>
    </row>
    <row r="501" spans="15:73"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F501" s="125"/>
      <c r="AG501" s="125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  <c r="AV501" s="125"/>
      <c r="AW501" s="125"/>
      <c r="AX501" s="125"/>
      <c r="AY501" s="125"/>
      <c r="AZ501" s="125"/>
      <c r="BA501" s="125"/>
      <c r="BB501" s="125"/>
      <c r="BC501" s="125"/>
      <c r="BD501" s="125"/>
      <c r="BE501" s="125"/>
      <c r="BF501" s="125"/>
      <c r="BG501" s="125"/>
      <c r="BH501" s="125"/>
      <c r="BI501" s="125"/>
      <c r="BJ501" s="125"/>
      <c r="BK501" s="125"/>
      <c r="BL501" s="125"/>
      <c r="BM501" s="125"/>
      <c r="BN501" s="125"/>
      <c r="BO501" s="125"/>
      <c r="BP501" s="125"/>
      <c r="BQ501" s="125"/>
      <c r="BR501" s="125"/>
      <c r="BS501" s="125"/>
      <c r="BT501" s="125"/>
      <c r="BU501" s="125"/>
    </row>
    <row r="502" spans="15:73"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  <c r="AV502" s="125"/>
      <c r="AW502" s="125"/>
      <c r="AX502" s="125"/>
      <c r="AY502" s="125"/>
      <c r="AZ502" s="125"/>
      <c r="BA502" s="125"/>
      <c r="BB502" s="125"/>
      <c r="BC502" s="125"/>
      <c r="BD502" s="125"/>
      <c r="BE502" s="125"/>
      <c r="BF502" s="125"/>
      <c r="BG502" s="125"/>
      <c r="BH502" s="125"/>
      <c r="BI502" s="125"/>
      <c r="BJ502" s="125"/>
      <c r="BK502" s="125"/>
      <c r="BL502" s="125"/>
      <c r="BM502" s="125"/>
      <c r="BN502" s="125"/>
      <c r="BO502" s="125"/>
      <c r="BP502" s="125"/>
      <c r="BQ502" s="125"/>
      <c r="BR502" s="125"/>
      <c r="BS502" s="125"/>
      <c r="BT502" s="125"/>
      <c r="BU502" s="125"/>
    </row>
    <row r="503" spans="15:73"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F503" s="125"/>
      <c r="AG503" s="125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  <c r="AV503" s="125"/>
      <c r="AW503" s="125"/>
      <c r="AX503" s="125"/>
      <c r="AY503" s="125"/>
      <c r="AZ503" s="125"/>
      <c r="BA503" s="125"/>
      <c r="BB503" s="125"/>
      <c r="BC503" s="125"/>
      <c r="BD503" s="125"/>
      <c r="BE503" s="125"/>
      <c r="BF503" s="125"/>
      <c r="BG503" s="125"/>
      <c r="BH503" s="125"/>
      <c r="BI503" s="125"/>
      <c r="BJ503" s="125"/>
      <c r="BK503" s="125"/>
      <c r="BL503" s="125"/>
      <c r="BM503" s="125"/>
      <c r="BN503" s="125"/>
      <c r="BO503" s="125"/>
      <c r="BP503" s="125"/>
      <c r="BQ503" s="125"/>
      <c r="BR503" s="125"/>
      <c r="BS503" s="125"/>
      <c r="BT503" s="125"/>
      <c r="BU503" s="125"/>
    </row>
    <row r="504" spans="15:73"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F504" s="125"/>
      <c r="AG504" s="125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  <c r="AV504" s="125"/>
      <c r="AW504" s="125"/>
      <c r="AX504" s="125"/>
      <c r="AY504" s="125"/>
      <c r="AZ504" s="125"/>
      <c r="BA504" s="125"/>
      <c r="BB504" s="125"/>
      <c r="BC504" s="125"/>
      <c r="BD504" s="125"/>
      <c r="BE504" s="125"/>
      <c r="BF504" s="125"/>
      <c r="BG504" s="125"/>
      <c r="BH504" s="125"/>
      <c r="BI504" s="125"/>
      <c r="BJ504" s="125"/>
      <c r="BK504" s="125"/>
      <c r="BL504" s="125"/>
      <c r="BM504" s="125"/>
      <c r="BN504" s="125"/>
      <c r="BO504" s="125"/>
      <c r="BP504" s="125"/>
      <c r="BQ504" s="125"/>
      <c r="BR504" s="125"/>
      <c r="BS504" s="125"/>
      <c r="BT504" s="125"/>
      <c r="BU504" s="125"/>
    </row>
    <row r="505" spans="15:73"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F505" s="125"/>
      <c r="AG505" s="125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  <c r="AV505" s="125"/>
      <c r="AW505" s="125"/>
      <c r="AX505" s="125"/>
      <c r="AY505" s="125"/>
      <c r="AZ505" s="125"/>
      <c r="BA505" s="125"/>
      <c r="BB505" s="125"/>
      <c r="BC505" s="125"/>
      <c r="BD505" s="125"/>
      <c r="BE505" s="125"/>
      <c r="BF505" s="125"/>
      <c r="BG505" s="125"/>
      <c r="BH505" s="125"/>
      <c r="BI505" s="125"/>
      <c r="BJ505" s="125"/>
      <c r="BK505" s="125"/>
      <c r="BL505" s="125"/>
      <c r="BM505" s="125"/>
      <c r="BN505" s="125"/>
      <c r="BO505" s="125"/>
      <c r="BP505" s="125"/>
      <c r="BQ505" s="125"/>
      <c r="BR505" s="125"/>
      <c r="BS505" s="125"/>
      <c r="BT505" s="125"/>
      <c r="BU505" s="125"/>
    </row>
    <row r="506" spans="15:73"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F506" s="125"/>
      <c r="AG506" s="125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  <c r="AV506" s="125"/>
      <c r="AW506" s="125"/>
      <c r="AX506" s="125"/>
      <c r="AY506" s="125"/>
      <c r="AZ506" s="125"/>
      <c r="BA506" s="125"/>
      <c r="BB506" s="125"/>
      <c r="BC506" s="125"/>
      <c r="BD506" s="125"/>
      <c r="BE506" s="125"/>
      <c r="BF506" s="125"/>
      <c r="BG506" s="125"/>
      <c r="BH506" s="125"/>
      <c r="BI506" s="125"/>
      <c r="BJ506" s="125"/>
      <c r="BK506" s="125"/>
      <c r="BL506" s="125"/>
      <c r="BM506" s="125"/>
      <c r="BN506" s="125"/>
      <c r="BO506" s="125"/>
      <c r="BP506" s="125"/>
      <c r="BQ506" s="125"/>
      <c r="BR506" s="125"/>
      <c r="BS506" s="125"/>
      <c r="BT506" s="125"/>
      <c r="BU506" s="125"/>
    </row>
    <row r="507" spans="15:73"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F507" s="125"/>
      <c r="AG507" s="125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  <c r="AV507" s="125"/>
      <c r="AW507" s="125"/>
      <c r="AX507" s="125"/>
      <c r="AY507" s="125"/>
      <c r="AZ507" s="125"/>
      <c r="BA507" s="125"/>
      <c r="BB507" s="125"/>
      <c r="BC507" s="125"/>
      <c r="BD507" s="125"/>
      <c r="BE507" s="125"/>
      <c r="BF507" s="125"/>
      <c r="BG507" s="125"/>
      <c r="BH507" s="125"/>
      <c r="BI507" s="125"/>
      <c r="BJ507" s="125"/>
      <c r="BK507" s="125"/>
      <c r="BL507" s="125"/>
      <c r="BM507" s="125"/>
      <c r="BN507" s="125"/>
      <c r="BO507" s="125"/>
      <c r="BP507" s="125"/>
      <c r="BQ507" s="125"/>
      <c r="BR507" s="125"/>
      <c r="BS507" s="125"/>
      <c r="BT507" s="125"/>
      <c r="BU507" s="125"/>
    </row>
    <row r="508" spans="15:73"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F508" s="125"/>
      <c r="AG508" s="125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  <c r="AV508" s="125"/>
      <c r="AW508" s="125"/>
      <c r="AX508" s="125"/>
      <c r="AY508" s="125"/>
      <c r="AZ508" s="125"/>
      <c r="BA508" s="125"/>
      <c r="BB508" s="125"/>
      <c r="BC508" s="125"/>
      <c r="BD508" s="125"/>
      <c r="BE508" s="125"/>
      <c r="BF508" s="125"/>
      <c r="BG508" s="125"/>
      <c r="BH508" s="125"/>
      <c r="BI508" s="125"/>
      <c r="BJ508" s="125"/>
      <c r="BK508" s="125"/>
      <c r="BL508" s="125"/>
      <c r="BM508" s="125"/>
      <c r="BN508" s="125"/>
      <c r="BO508" s="125"/>
      <c r="BP508" s="125"/>
      <c r="BQ508" s="125"/>
      <c r="BR508" s="125"/>
      <c r="BS508" s="125"/>
      <c r="BT508" s="125"/>
      <c r="BU508" s="125"/>
    </row>
    <row r="509" spans="15:73"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F509" s="125"/>
      <c r="AG509" s="125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  <c r="AV509" s="125"/>
      <c r="AW509" s="125"/>
      <c r="AX509" s="125"/>
      <c r="AY509" s="125"/>
      <c r="AZ509" s="125"/>
      <c r="BA509" s="125"/>
      <c r="BB509" s="125"/>
      <c r="BC509" s="125"/>
      <c r="BD509" s="125"/>
      <c r="BE509" s="125"/>
      <c r="BF509" s="125"/>
      <c r="BG509" s="125"/>
      <c r="BH509" s="125"/>
      <c r="BI509" s="125"/>
      <c r="BJ509" s="125"/>
      <c r="BK509" s="125"/>
      <c r="BL509" s="125"/>
      <c r="BM509" s="125"/>
      <c r="BN509" s="125"/>
      <c r="BO509" s="125"/>
      <c r="BP509" s="125"/>
      <c r="BQ509" s="125"/>
      <c r="BR509" s="125"/>
      <c r="BS509" s="125"/>
      <c r="BT509" s="125"/>
      <c r="BU509" s="125"/>
    </row>
    <row r="510" spans="15:73"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F510" s="125"/>
      <c r="AG510" s="125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  <c r="AV510" s="125"/>
      <c r="AW510" s="125"/>
      <c r="AX510" s="125"/>
      <c r="AY510" s="125"/>
      <c r="AZ510" s="125"/>
      <c r="BA510" s="125"/>
      <c r="BB510" s="125"/>
      <c r="BC510" s="125"/>
      <c r="BD510" s="125"/>
      <c r="BE510" s="125"/>
      <c r="BF510" s="125"/>
      <c r="BG510" s="125"/>
      <c r="BH510" s="125"/>
      <c r="BI510" s="125"/>
      <c r="BJ510" s="125"/>
      <c r="BK510" s="125"/>
      <c r="BL510" s="125"/>
      <c r="BM510" s="125"/>
      <c r="BN510" s="125"/>
      <c r="BO510" s="125"/>
      <c r="BP510" s="125"/>
      <c r="BQ510" s="125"/>
      <c r="BR510" s="125"/>
      <c r="BS510" s="125"/>
      <c r="BT510" s="125"/>
      <c r="BU510" s="125"/>
    </row>
    <row r="511" spans="15:73"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  <c r="AV511" s="125"/>
      <c r="AW511" s="125"/>
      <c r="AX511" s="125"/>
      <c r="AY511" s="125"/>
      <c r="AZ511" s="125"/>
      <c r="BA511" s="125"/>
      <c r="BB511" s="125"/>
      <c r="BC511" s="125"/>
      <c r="BD511" s="125"/>
      <c r="BE511" s="125"/>
      <c r="BF511" s="125"/>
      <c r="BG511" s="125"/>
      <c r="BH511" s="125"/>
      <c r="BI511" s="125"/>
      <c r="BJ511" s="125"/>
      <c r="BK511" s="125"/>
      <c r="BL511" s="125"/>
      <c r="BM511" s="125"/>
      <c r="BN511" s="125"/>
      <c r="BO511" s="125"/>
      <c r="BP511" s="125"/>
      <c r="BQ511" s="125"/>
      <c r="BR511" s="125"/>
      <c r="BS511" s="125"/>
      <c r="BT511" s="125"/>
      <c r="BU511" s="125"/>
    </row>
    <row r="512" spans="15:73"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F512" s="125"/>
      <c r="AG512" s="125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  <c r="AV512" s="125"/>
      <c r="AW512" s="125"/>
      <c r="AX512" s="125"/>
      <c r="AY512" s="125"/>
      <c r="AZ512" s="125"/>
      <c r="BA512" s="125"/>
      <c r="BB512" s="125"/>
      <c r="BC512" s="125"/>
      <c r="BD512" s="125"/>
      <c r="BE512" s="125"/>
      <c r="BF512" s="125"/>
      <c r="BG512" s="125"/>
      <c r="BH512" s="125"/>
      <c r="BI512" s="125"/>
      <c r="BJ512" s="125"/>
      <c r="BK512" s="125"/>
      <c r="BL512" s="125"/>
      <c r="BM512" s="125"/>
      <c r="BN512" s="125"/>
      <c r="BO512" s="125"/>
      <c r="BP512" s="125"/>
      <c r="BQ512" s="125"/>
      <c r="BR512" s="125"/>
      <c r="BS512" s="125"/>
      <c r="BT512" s="125"/>
      <c r="BU512" s="125"/>
    </row>
    <row r="513" spans="15:73"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F513" s="125"/>
      <c r="AG513" s="125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  <c r="AV513" s="125"/>
      <c r="AW513" s="125"/>
      <c r="AX513" s="125"/>
      <c r="AY513" s="125"/>
      <c r="AZ513" s="125"/>
      <c r="BA513" s="125"/>
      <c r="BB513" s="125"/>
      <c r="BC513" s="125"/>
      <c r="BD513" s="125"/>
      <c r="BE513" s="125"/>
      <c r="BF513" s="125"/>
      <c r="BG513" s="125"/>
      <c r="BH513" s="125"/>
      <c r="BI513" s="125"/>
      <c r="BJ513" s="125"/>
      <c r="BK513" s="125"/>
      <c r="BL513" s="125"/>
      <c r="BM513" s="125"/>
      <c r="BN513" s="125"/>
      <c r="BO513" s="125"/>
      <c r="BP513" s="125"/>
      <c r="BQ513" s="125"/>
      <c r="BR513" s="125"/>
      <c r="BS513" s="125"/>
      <c r="BT513" s="125"/>
      <c r="BU513" s="125"/>
    </row>
    <row r="514" spans="15:73"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F514" s="125"/>
      <c r="AG514" s="125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  <c r="AV514" s="125"/>
      <c r="AW514" s="125"/>
      <c r="AX514" s="125"/>
      <c r="AY514" s="125"/>
      <c r="AZ514" s="125"/>
      <c r="BA514" s="125"/>
      <c r="BB514" s="125"/>
      <c r="BC514" s="125"/>
      <c r="BD514" s="125"/>
      <c r="BE514" s="125"/>
      <c r="BF514" s="125"/>
      <c r="BG514" s="125"/>
      <c r="BH514" s="125"/>
      <c r="BI514" s="125"/>
      <c r="BJ514" s="125"/>
      <c r="BK514" s="125"/>
      <c r="BL514" s="125"/>
      <c r="BM514" s="125"/>
      <c r="BN514" s="125"/>
      <c r="BO514" s="125"/>
      <c r="BP514" s="125"/>
      <c r="BQ514" s="125"/>
      <c r="BR514" s="125"/>
      <c r="BS514" s="125"/>
      <c r="BT514" s="125"/>
      <c r="BU514" s="125"/>
    </row>
    <row r="515" spans="15:73"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F515" s="125"/>
      <c r="AG515" s="125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  <c r="AV515" s="125"/>
      <c r="AW515" s="125"/>
      <c r="AX515" s="125"/>
      <c r="AY515" s="125"/>
      <c r="AZ515" s="125"/>
      <c r="BA515" s="125"/>
      <c r="BB515" s="125"/>
      <c r="BC515" s="125"/>
      <c r="BD515" s="125"/>
      <c r="BE515" s="125"/>
      <c r="BF515" s="125"/>
      <c r="BG515" s="125"/>
      <c r="BH515" s="125"/>
      <c r="BI515" s="125"/>
      <c r="BJ515" s="125"/>
      <c r="BK515" s="125"/>
      <c r="BL515" s="125"/>
      <c r="BM515" s="125"/>
      <c r="BN515" s="125"/>
      <c r="BO515" s="125"/>
      <c r="BP515" s="125"/>
      <c r="BQ515" s="125"/>
      <c r="BR515" s="125"/>
      <c r="BS515" s="125"/>
      <c r="BT515" s="125"/>
      <c r="BU515" s="125"/>
    </row>
    <row r="516" spans="15:73"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F516" s="125"/>
      <c r="AG516" s="125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  <c r="AV516" s="125"/>
      <c r="AW516" s="125"/>
      <c r="AX516" s="125"/>
      <c r="AY516" s="125"/>
      <c r="AZ516" s="125"/>
      <c r="BA516" s="125"/>
      <c r="BB516" s="125"/>
      <c r="BC516" s="125"/>
      <c r="BD516" s="125"/>
      <c r="BE516" s="125"/>
      <c r="BF516" s="125"/>
      <c r="BG516" s="125"/>
      <c r="BH516" s="125"/>
      <c r="BI516" s="125"/>
      <c r="BJ516" s="125"/>
      <c r="BK516" s="125"/>
      <c r="BL516" s="125"/>
      <c r="BM516" s="125"/>
      <c r="BN516" s="125"/>
      <c r="BO516" s="125"/>
      <c r="BP516" s="125"/>
      <c r="BQ516" s="125"/>
      <c r="BR516" s="125"/>
      <c r="BS516" s="125"/>
      <c r="BT516" s="125"/>
      <c r="BU516" s="125"/>
    </row>
    <row r="517" spans="15:73"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F517" s="125"/>
      <c r="AG517" s="125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  <c r="AV517" s="125"/>
      <c r="AW517" s="125"/>
      <c r="AX517" s="125"/>
      <c r="AY517" s="125"/>
      <c r="AZ517" s="125"/>
      <c r="BA517" s="125"/>
      <c r="BB517" s="125"/>
      <c r="BC517" s="125"/>
      <c r="BD517" s="125"/>
      <c r="BE517" s="125"/>
      <c r="BF517" s="125"/>
      <c r="BG517" s="125"/>
      <c r="BH517" s="125"/>
      <c r="BI517" s="125"/>
      <c r="BJ517" s="125"/>
      <c r="BK517" s="125"/>
      <c r="BL517" s="125"/>
      <c r="BM517" s="125"/>
      <c r="BN517" s="125"/>
      <c r="BO517" s="125"/>
      <c r="BP517" s="125"/>
      <c r="BQ517" s="125"/>
      <c r="BR517" s="125"/>
      <c r="BS517" s="125"/>
      <c r="BT517" s="125"/>
      <c r="BU517" s="125"/>
    </row>
    <row r="518" spans="15:73"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F518" s="125"/>
      <c r="AG518" s="125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  <c r="AV518" s="125"/>
      <c r="AW518" s="125"/>
      <c r="AX518" s="125"/>
      <c r="AY518" s="125"/>
      <c r="AZ518" s="125"/>
      <c r="BA518" s="125"/>
      <c r="BB518" s="125"/>
      <c r="BC518" s="125"/>
      <c r="BD518" s="125"/>
      <c r="BE518" s="125"/>
      <c r="BF518" s="125"/>
      <c r="BG518" s="125"/>
      <c r="BH518" s="125"/>
      <c r="BI518" s="125"/>
      <c r="BJ518" s="125"/>
      <c r="BK518" s="125"/>
      <c r="BL518" s="125"/>
      <c r="BM518" s="125"/>
      <c r="BN518" s="125"/>
      <c r="BO518" s="125"/>
      <c r="BP518" s="125"/>
      <c r="BQ518" s="125"/>
      <c r="BR518" s="125"/>
      <c r="BS518" s="125"/>
      <c r="BT518" s="125"/>
      <c r="BU518" s="125"/>
    </row>
    <row r="519" spans="15:73"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F519" s="125"/>
      <c r="AG519" s="125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  <c r="AV519" s="125"/>
      <c r="AW519" s="125"/>
      <c r="AX519" s="125"/>
      <c r="AY519" s="125"/>
      <c r="AZ519" s="125"/>
      <c r="BA519" s="125"/>
      <c r="BB519" s="125"/>
      <c r="BC519" s="125"/>
      <c r="BD519" s="125"/>
      <c r="BE519" s="125"/>
      <c r="BF519" s="125"/>
      <c r="BG519" s="125"/>
      <c r="BH519" s="125"/>
      <c r="BI519" s="125"/>
      <c r="BJ519" s="125"/>
      <c r="BK519" s="125"/>
      <c r="BL519" s="125"/>
      <c r="BM519" s="125"/>
      <c r="BN519" s="125"/>
      <c r="BO519" s="125"/>
      <c r="BP519" s="125"/>
      <c r="BQ519" s="125"/>
      <c r="BR519" s="125"/>
      <c r="BS519" s="125"/>
      <c r="BT519" s="125"/>
      <c r="BU519" s="125"/>
    </row>
    <row r="520" spans="15:73"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F520" s="125"/>
      <c r="AG520" s="125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  <c r="AV520" s="125"/>
      <c r="AW520" s="125"/>
      <c r="AX520" s="125"/>
      <c r="AY520" s="125"/>
      <c r="AZ520" s="125"/>
      <c r="BA520" s="125"/>
      <c r="BB520" s="125"/>
      <c r="BC520" s="125"/>
      <c r="BD520" s="125"/>
      <c r="BE520" s="125"/>
      <c r="BF520" s="125"/>
      <c r="BG520" s="125"/>
      <c r="BH520" s="125"/>
      <c r="BI520" s="125"/>
      <c r="BJ520" s="125"/>
      <c r="BK520" s="125"/>
      <c r="BL520" s="125"/>
      <c r="BM520" s="125"/>
      <c r="BN520" s="125"/>
      <c r="BO520" s="125"/>
      <c r="BP520" s="125"/>
      <c r="BQ520" s="125"/>
      <c r="BR520" s="125"/>
      <c r="BS520" s="125"/>
      <c r="BT520" s="125"/>
      <c r="BU520" s="125"/>
    </row>
    <row r="521" spans="15:73"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F521" s="125"/>
      <c r="AG521" s="125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  <c r="AV521" s="125"/>
      <c r="AW521" s="125"/>
      <c r="AX521" s="125"/>
      <c r="AY521" s="125"/>
      <c r="AZ521" s="125"/>
      <c r="BA521" s="125"/>
      <c r="BB521" s="125"/>
      <c r="BC521" s="125"/>
      <c r="BD521" s="125"/>
      <c r="BE521" s="125"/>
      <c r="BF521" s="125"/>
      <c r="BG521" s="125"/>
      <c r="BH521" s="125"/>
      <c r="BI521" s="125"/>
      <c r="BJ521" s="125"/>
      <c r="BK521" s="125"/>
      <c r="BL521" s="125"/>
      <c r="BM521" s="125"/>
      <c r="BN521" s="125"/>
      <c r="BO521" s="125"/>
      <c r="BP521" s="125"/>
      <c r="BQ521" s="125"/>
      <c r="BR521" s="125"/>
      <c r="BS521" s="125"/>
      <c r="BT521" s="125"/>
      <c r="BU521" s="125"/>
    </row>
    <row r="522" spans="15:73"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F522" s="125"/>
      <c r="AG522" s="125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  <c r="AV522" s="125"/>
      <c r="AW522" s="125"/>
      <c r="AX522" s="125"/>
      <c r="AY522" s="125"/>
      <c r="AZ522" s="125"/>
      <c r="BA522" s="125"/>
      <c r="BB522" s="125"/>
      <c r="BC522" s="125"/>
      <c r="BD522" s="125"/>
      <c r="BE522" s="125"/>
      <c r="BF522" s="125"/>
      <c r="BG522" s="125"/>
      <c r="BH522" s="125"/>
      <c r="BI522" s="125"/>
      <c r="BJ522" s="125"/>
      <c r="BK522" s="125"/>
      <c r="BL522" s="125"/>
      <c r="BM522" s="125"/>
      <c r="BN522" s="125"/>
      <c r="BO522" s="125"/>
      <c r="BP522" s="125"/>
      <c r="BQ522" s="125"/>
      <c r="BR522" s="125"/>
      <c r="BS522" s="125"/>
      <c r="BT522" s="125"/>
      <c r="BU522" s="125"/>
    </row>
    <row r="523" spans="15:73"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F523" s="125"/>
      <c r="AG523" s="125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  <c r="AV523" s="125"/>
      <c r="AW523" s="125"/>
      <c r="AX523" s="125"/>
      <c r="AY523" s="125"/>
      <c r="AZ523" s="125"/>
      <c r="BA523" s="125"/>
      <c r="BB523" s="125"/>
      <c r="BC523" s="125"/>
      <c r="BD523" s="125"/>
      <c r="BE523" s="125"/>
      <c r="BF523" s="125"/>
      <c r="BG523" s="125"/>
      <c r="BH523" s="125"/>
      <c r="BI523" s="125"/>
      <c r="BJ523" s="125"/>
      <c r="BK523" s="125"/>
      <c r="BL523" s="125"/>
      <c r="BM523" s="125"/>
      <c r="BN523" s="125"/>
      <c r="BO523" s="125"/>
      <c r="BP523" s="125"/>
      <c r="BQ523" s="125"/>
      <c r="BR523" s="125"/>
      <c r="BS523" s="125"/>
      <c r="BT523" s="125"/>
      <c r="BU523" s="125"/>
    </row>
    <row r="524" spans="15:73"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F524" s="125"/>
      <c r="AG524" s="125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  <c r="AV524" s="125"/>
      <c r="AW524" s="125"/>
      <c r="AX524" s="125"/>
      <c r="AY524" s="125"/>
      <c r="AZ524" s="125"/>
      <c r="BA524" s="125"/>
      <c r="BB524" s="125"/>
      <c r="BC524" s="125"/>
      <c r="BD524" s="125"/>
      <c r="BE524" s="125"/>
      <c r="BF524" s="125"/>
      <c r="BG524" s="125"/>
      <c r="BH524" s="125"/>
      <c r="BI524" s="125"/>
      <c r="BJ524" s="125"/>
      <c r="BK524" s="125"/>
      <c r="BL524" s="125"/>
      <c r="BM524" s="125"/>
      <c r="BN524" s="125"/>
      <c r="BO524" s="125"/>
      <c r="BP524" s="125"/>
      <c r="BQ524" s="125"/>
      <c r="BR524" s="125"/>
      <c r="BS524" s="125"/>
      <c r="BT524" s="125"/>
      <c r="BU524" s="125"/>
    </row>
    <row r="525" spans="15:73"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F525" s="125"/>
      <c r="AG525" s="125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  <c r="AV525" s="125"/>
      <c r="AW525" s="125"/>
      <c r="AX525" s="125"/>
      <c r="AY525" s="125"/>
      <c r="AZ525" s="125"/>
      <c r="BA525" s="125"/>
      <c r="BB525" s="125"/>
      <c r="BC525" s="125"/>
      <c r="BD525" s="125"/>
      <c r="BE525" s="125"/>
      <c r="BF525" s="125"/>
      <c r="BG525" s="125"/>
      <c r="BH525" s="125"/>
      <c r="BI525" s="125"/>
      <c r="BJ525" s="125"/>
      <c r="BK525" s="125"/>
      <c r="BL525" s="125"/>
      <c r="BM525" s="125"/>
      <c r="BN525" s="125"/>
      <c r="BO525" s="125"/>
      <c r="BP525" s="125"/>
      <c r="BQ525" s="125"/>
      <c r="BR525" s="125"/>
      <c r="BS525" s="125"/>
      <c r="BT525" s="125"/>
      <c r="BU525" s="125"/>
    </row>
    <row r="526" spans="15:73"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F526" s="125"/>
      <c r="AG526" s="125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  <c r="AV526" s="125"/>
      <c r="AW526" s="125"/>
      <c r="AX526" s="125"/>
      <c r="AY526" s="125"/>
      <c r="AZ526" s="125"/>
      <c r="BA526" s="125"/>
      <c r="BB526" s="125"/>
      <c r="BC526" s="125"/>
      <c r="BD526" s="125"/>
      <c r="BE526" s="125"/>
      <c r="BF526" s="125"/>
      <c r="BG526" s="125"/>
      <c r="BH526" s="125"/>
      <c r="BI526" s="125"/>
      <c r="BJ526" s="125"/>
      <c r="BK526" s="125"/>
      <c r="BL526" s="125"/>
      <c r="BM526" s="125"/>
      <c r="BN526" s="125"/>
      <c r="BO526" s="125"/>
      <c r="BP526" s="125"/>
      <c r="BQ526" s="125"/>
      <c r="BR526" s="125"/>
      <c r="BS526" s="125"/>
      <c r="BT526" s="125"/>
      <c r="BU526" s="125"/>
    </row>
    <row r="527" spans="15:73"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F527" s="125"/>
      <c r="AG527" s="125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  <c r="AV527" s="125"/>
      <c r="AW527" s="125"/>
      <c r="AX527" s="125"/>
      <c r="AY527" s="125"/>
      <c r="AZ527" s="125"/>
      <c r="BA527" s="125"/>
      <c r="BB527" s="125"/>
      <c r="BC527" s="125"/>
      <c r="BD527" s="125"/>
      <c r="BE527" s="125"/>
      <c r="BF527" s="125"/>
      <c r="BG527" s="125"/>
      <c r="BH527" s="125"/>
      <c r="BI527" s="125"/>
      <c r="BJ527" s="125"/>
      <c r="BK527" s="125"/>
      <c r="BL527" s="125"/>
      <c r="BM527" s="125"/>
      <c r="BN527" s="125"/>
      <c r="BO527" s="125"/>
      <c r="BP527" s="125"/>
      <c r="BQ527" s="125"/>
      <c r="BR527" s="125"/>
      <c r="BS527" s="125"/>
      <c r="BT527" s="125"/>
      <c r="BU527" s="125"/>
    </row>
    <row r="528" spans="15:73"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F528" s="125"/>
      <c r="AG528" s="125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  <c r="AV528" s="125"/>
      <c r="AW528" s="125"/>
      <c r="AX528" s="125"/>
      <c r="AY528" s="125"/>
      <c r="AZ528" s="125"/>
      <c r="BA528" s="125"/>
      <c r="BB528" s="125"/>
      <c r="BC528" s="125"/>
      <c r="BD528" s="125"/>
      <c r="BE528" s="125"/>
      <c r="BF528" s="125"/>
      <c r="BG528" s="125"/>
      <c r="BH528" s="125"/>
      <c r="BI528" s="125"/>
      <c r="BJ528" s="125"/>
      <c r="BK528" s="125"/>
      <c r="BL528" s="125"/>
      <c r="BM528" s="125"/>
      <c r="BN528" s="125"/>
      <c r="BO528" s="125"/>
      <c r="BP528" s="125"/>
      <c r="BQ528" s="125"/>
      <c r="BR528" s="125"/>
      <c r="BS528" s="125"/>
      <c r="BT528" s="125"/>
      <c r="BU528" s="125"/>
    </row>
    <row r="529" spans="15:73"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F529" s="125"/>
      <c r="AG529" s="125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  <c r="AV529" s="125"/>
      <c r="AW529" s="125"/>
      <c r="AX529" s="125"/>
      <c r="AY529" s="125"/>
      <c r="AZ529" s="125"/>
      <c r="BA529" s="125"/>
      <c r="BB529" s="125"/>
      <c r="BC529" s="125"/>
      <c r="BD529" s="125"/>
      <c r="BE529" s="125"/>
      <c r="BF529" s="125"/>
      <c r="BG529" s="125"/>
      <c r="BH529" s="125"/>
      <c r="BI529" s="125"/>
      <c r="BJ529" s="125"/>
      <c r="BK529" s="125"/>
      <c r="BL529" s="125"/>
      <c r="BM529" s="125"/>
      <c r="BN529" s="125"/>
      <c r="BO529" s="125"/>
      <c r="BP529" s="125"/>
      <c r="BQ529" s="125"/>
      <c r="BR529" s="125"/>
      <c r="BS529" s="125"/>
      <c r="BT529" s="125"/>
      <c r="BU529" s="125"/>
    </row>
    <row r="530" spans="15:73"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F530" s="125"/>
      <c r="AG530" s="125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  <c r="AV530" s="125"/>
      <c r="AW530" s="125"/>
      <c r="AX530" s="125"/>
      <c r="AY530" s="125"/>
      <c r="AZ530" s="125"/>
      <c r="BA530" s="125"/>
      <c r="BB530" s="125"/>
      <c r="BC530" s="125"/>
      <c r="BD530" s="125"/>
      <c r="BE530" s="125"/>
      <c r="BF530" s="125"/>
      <c r="BG530" s="125"/>
      <c r="BH530" s="125"/>
      <c r="BI530" s="125"/>
      <c r="BJ530" s="125"/>
      <c r="BK530" s="125"/>
      <c r="BL530" s="125"/>
      <c r="BM530" s="125"/>
      <c r="BN530" s="125"/>
      <c r="BO530" s="125"/>
      <c r="BP530" s="125"/>
      <c r="BQ530" s="125"/>
      <c r="BR530" s="125"/>
      <c r="BS530" s="125"/>
      <c r="BT530" s="125"/>
      <c r="BU530" s="125"/>
    </row>
    <row r="531" spans="15:73"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F531" s="125"/>
      <c r="AG531" s="125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  <c r="AV531" s="125"/>
      <c r="AW531" s="125"/>
      <c r="AX531" s="125"/>
      <c r="AY531" s="125"/>
      <c r="AZ531" s="125"/>
      <c r="BA531" s="125"/>
      <c r="BB531" s="125"/>
      <c r="BC531" s="125"/>
      <c r="BD531" s="125"/>
      <c r="BE531" s="125"/>
      <c r="BF531" s="125"/>
      <c r="BG531" s="125"/>
      <c r="BH531" s="125"/>
      <c r="BI531" s="125"/>
      <c r="BJ531" s="125"/>
      <c r="BK531" s="125"/>
      <c r="BL531" s="125"/>
      <c r="BM531" s="125"/>
      <c r="BN531" s="125"/>
      <c r="BO531" s="125"/>
      <c r="BP531" s="125"/>
      <c r="BQ531" s="125"/>
      <c r="BR531" s="125"/>
      <c r="BS531" s="125"/>
      <c r="BT531" s="125"/>
      <c r="BU531" s="125"/>
    </row>
    <row r="532" spans="15:73"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F532" s="125"/>
      <c r="AG532" s="125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  <c r="AV532" s="125"/>
      <c r="AW532" s="125"/>
      <c r="AX532" s="125"/>
      <c r="AY532" s="125"/>
      <c r="AZ532" s="125"/>
      <c r="BA532" s="125"/>
      <c r="BB532" s="125"/>
      <c r="BC532" s="125"/>
      <c r="BD532" s="125"/>
      <c r="BE532" s="125"/>
      <c r="BF532" s="125"/>
      <c r="BG532" s="125"/>
      <c r="BH532" s="125"/>
      <c r="BI532" s="125"/>
      <c r="BJ532" s="125"/>
      <c r="BK532" s="125"/>
      <c r="BL532" s="125"/>
      <c r="BM532" s="125"/>
      <c r="BN532" s="125"/>
      <c r="BO532" s="125"/>
      <c r="BP532" s="125"/>
      <c r="BQ532" s="125"/>
      <c r="BR532" s="125"/>
      <c r="BS532" s="125"/>
      <c r="BT532" s="125"/>
      <c r="BU532" s="125"/>
    </row>
    <row r="533" spans="15:73"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F533" s="125"/>
      <c r="AG533" s="125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  <c r="AV533" s="125"/>
      <c r="AW533" s="125"/>
      <c r="AX533" s="125"/>
      <c r="AY533" s="125"/>
      <c r="AZ533" s="125"/>
      <c r="BA533" s="125"/>
      <c r="BB533" s="125"/>
      <c r="BC533" s="125"/>
      <c r="BD533" s="125"/>
      <c r="BE533" s="125"/>
      <c r="BF533" s="125"/>
      <c r="BG533" s="125"/>
      <c r="BH533" s="125"/>
      <c r="BI533" s="125"/>
      <c r="BJ533" s="125"/>
      <c r="BK533" s="125"/>
      <c r="BL533" s="125"/>
      <c r="BM533" s="125"/>
      <c r="BN533" s="125"/>
      <c r="BO533" s="125"/>
      <c r="BP533" s="125"/>
      <c r="BQ533" s="125"/>
      <c r="BR533" s="125"/>
      <c r="BS533" s="125"/>
      <c r="BT533" s="125"/>
      <c r="BU533" s="125"/>
    </row>
    <row r="534" spans="15:73"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F534" s="125"/>
      <c r="AG534" s="125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  <c r="AV534" s="125"/>
      <c r="AW534" s="125"/>
      <c r="AX534" s="125"/>
      <c r="AY534" s="125"/>
      <c r="AZ534" s="125"/>
      <c r="BA534" s="125"/>
      <c r="BB534" s="125"/>
      <c r="BC534" s="125"/>
      <c r="BD534" s="125"/>
      <c r="BE534" s="125"/>
      <c r="BF534" s="125"/>
      <c r="BG534" s="125"/>
      <c r="BH534" s="125"/>
      <c r="BI534" s="125"/>
      <c r="BJ534" s="125"/>
      <c r="BK534" s="125"/>
      <c r="BL534" s="125"/>
      <c r="BM534" s="125"/>
      <c r="BN534" s="125"/>
      <c r="BO534" s="125"/>
      <c r="BP534" s="125"/>
      <c r="BQ534" s="125"/>
      <c r="BR534" s="125"/>
      <c r="BS534" s="125"/>
      <c r="BT534" s="125"/>
      <c r="BU534" s="125"/>
    </row>
    <row r="535" spans="15:73"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F535" s="125"/>
      <c r="AG535" s="125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  <c r="AV535" s="125"/>
      <c r="AW535" s="125"/>
      <c r="AX535" s="125"/>
      <c r="AY535" s="125"/>
      <c r="AZ535" s="125"/>
      <c r="BA535" s="125"/>
      <c r="BB535" s="125"/>
      <c r="BC535" s="125"/>
      <c r="BD535" s="125"/>
      <c r="BE535" s="125"/>
      <c r="BF535" s="125"/>
      <c r="BG535" s="125"/>
      <c r="BH535" s="125"/>
      <c r="BI535" s="125"/>
      <c r="BJ535" s="125"/>
      <c r="BK535" s="125"/>
      <c r="BL535" s="125"/>
      <c r="BM535" s="125"/>
      <c r="BN535" s="125"/>
      <c r="BO535" s="125"/>
      <c r="BP535" s="125"/>
      <c r="BQ535" s="125"/>
      <c r="BR535" s="125"/>
      <c r="BS535" s="125"/>
      <c r="BT535" s="125"/>
      <c r="BU535" s="125"/>
    </row>
    <row r="536" spans="15:73"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F536" s="125"/>
      <c r="AG536" s="125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  <c r="AV536" s="125"/>
      <c r="AW536" s="125"/>
      <c r="AX536" s="125"/>
      <c r="AY536" s="125"/>
      <c r="AZ536" s="125"/>
      <c r="BA536" s="125"/>
      <c r="BB536" s="125"/>
      <c r="BC536" s="125"/>
      <c r="BD536" s="125"/>
      <c r="BE536" s="125"/>
      <c r="BF536" s="125"/>
      <c r="BG536" s="125"/>
      <c r="BH536" s="125"/>
      <c r="BI536" s="125"/>
      <c r="BJ536" s="125"/>
      <c r="BK536" s="125"/>
      <c r="BL536" s="125"/>
      <c r="BM536" s="125"/>
      <c r="BN536" s="125"/>
      <c r="BO536" s="125"/>
      <c r="BP536" s="125"/>
      <c r="BQ536" s="125"/>
      <c r="BR536" s="125"/>
      <c r="BS536" s="125"/>
      <c r="BT536" s="125"/>
      <c r="BU536" s="125"/>
    </row>
    <row r="537" spans="15:73"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F537" s="125"/>
      <c r="AG537" s="125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  <c r="AV537" s="125"/>
      <c r="AW537" s="125"/>
      <c r="AX537" s="125"/>
      <c r="AY537" s="125"/>
      <c r="AZ537" s="125"/>
      <c r="BA537" s="125"/>
      <c r="BB537" s="125"/>
      <c r="BC537" s="125"/>
      <c r="BD537" s="125"/>
      <c r="BE537" s="125"/>
      <c r="BF537" s="125"/>
      <c r="BG537" s="125"/>
      <c r="BH537" s="125"/>
      <c r="BI537" s="125"/>
      <c r="BJ537" s="125"/>
      <c r="BK537" s="125"/>
      <c r="BL537" s="125"/>
      <c r="BM537" s="125"/>
      <c r="BN537" s="125"/>
      <c r="BO537" s="125"/>
      <c r="BP537" s="125"/>
      <c r="BQ537" s="125"/>
      <c r="BR537" s="125"/>
      <c r="BS537" s="125"/>
      <c r="BT537" s="125"/>
      <c r="BU537" s="125"/>
    </row>
    <row r="538" spans="15:73"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F538" s="125"/>
      <c r="AG538" s="125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  <c r="AV538" s="125"/>
      <c r="AW538" s="125"/>
      <c r="AX538" s="125"/>
      <c r="AY538" s="125"/>
      <c r="AZ538" s="125"/>
      <c r="BA538" s="125"/>
      <c r="BB538" s="125"/>
      <c r="BC538" s="125"/>
      <c r="BD538" s="125"/>
      <c r="BE538" s="125"/>
      <c r="BF538" s="125"/>
      <c r="BG538" s="125"/>
      <c r="BH538" s="125"/>
      <c r="BI538" s="125"/>
      <c r="BJ538" s="125"/>
      <c r="BK538" s="125"/>
      <c r="BL538" s="125"/>
      <c r="BM538" s="125"/>
      <c r="BN538" s="125"/>
      <c r="BO538" s="125"/>
      <c r="BP538" s="125"/>
      <c r="BQ538" s="125"/>
      <c r="BR538" s="125"/>
      <c r="BS538" s="125"/>
      <c r="BT538" s="125"/>
      <c r="BU538" s="125"/>
    </row>
    <row r="539" spans="15:73"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F539" s="125"/>
      <c r="AG539" s="125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  <c r="AV539" s="125"/>
      <c r="AW539" s="125"/>
      <c r="AX539" s="125"/>
      <c r="AY539" s="125"/>
      <c r="AZ539" s="125"/>
      <c r="BA539" s="125"/>
      <c r="BB539" s="125"/>
      <c r="BC539" s="125"/>
      <c r="BD539" s="125"/>
      <c r="BE539" s="125"/>
      <c r="BF539" s="125"/>
      <c r="BG539" s="125"/>
      <c r="BH539" s="125"/>
      <c r="BI539" s="125"/>
      <c r="BJ539" s="125"/>
      <c r="BK539" s="125"/>
      <c r="BL539" s="125"/>
      <c r="BM539" s="125"/>
      <c r="BN539" s="125"/>
      <c r="BO539" s="125"/>
      <c r="BP539" s="125"/>
      <c r="BQ539" s="125"/>
      <c r="BR539" s="125"/>
      <c r="BS539" s="125"/>
      <c r="BT539" s="125"/>
      <c r="BU539" s="125"/>
    </row>
    <row r="540" spans="15:73"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  <c r="AV540" s="125"/>
      <c r="AW540" s="125"/>
      <c r="AX540" s="125"/>
      <c r="AY540" s="125"/>
      <c r="AZ540" s="125"/>
      <c r="BA540" s="125"/>
      <c r="BB540" s="125"/>
      <c r="BC540" s="125"/>
      <c r="BD540" s="125"/>
      <c r="BE540" s="125"/>
      <c r="BF540" s="125"/>
      <c r="BG540" s="125"/>
      <c r="BH540" s="125"/>
      <c r="BI540" s="125"/>
      <c r="BJ540" s="125"/>
      <c r="BK540" s="125"/>
      <c r="BL540" s="125"/>
      <c r="BM540" s="125"/>
      <c r="BN540" s="125"/>
      <c r="BO540" s="125"/>
      <c r="BP540" s="125"/>
      <c r="BQ540" s="125"/>
      <c r="BR540" s="125"/>
      <c r="BS540" s="125"/>
      <c r="BT540" s="125"/>
      <c r="BU540" s="125"/>
    </row>
    <row r="541" spans="15:73"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  <c r="AV541" s="125"/>
      <c r="AW541" s="125"/>
      <c r="AX541" s="125"/>
      <c r="AY541" s="125"/>
      <c r="AZ541" s="125"/>
      <c r="BA541" s="125"/>
      <c r="BB541" s="125"/>
      <c r="BC541" s="125"/>
      <c r="BD541" s="125"/>
      <c r="BE541" s="125"/>
      <c r="BF541" s="125"/>
      <c r="BG541" s="125"/>
      <c r="BH541" s="125"/>
      <c r="BI541" s="125"/>
      <c r="BJ541" s="125"/>
      <c r="BK541" s="125"/>
      <c r="BL541" s="125"/>
      <c r="BM541" s="125"/>
      <c r="BN541" s="125"/>
      <c r="BO541" s="125"/>
      <c r="BP541" s="125"/>
      <c r="BQ541" s="125"/>
      <c r="BR541" s="125"/>
      <c r="BS541" s="125"/>
      <c r="BT541" s="125"/>
      <c r="BU541" s="125"/>
    </row>
    <row r="542" spans="15:73"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  <c r="AV542" s="125"/>
      <c r="AW542" s="125"/>
      <c r="AX542" s="125"/>
      <c r="AY542" s="125"/>
      <c r="AZ542" s="125"/>
      <c r="BA542" s="125"/>
      <c r="BB542" s="125"/>
      <c r="BC542" s="125"/>
      <c r="BD542" s="125"/>
      <c r="BE542" s="125"/>
      <c r="BF542" s="125"/>
      <c r="BG542" s="125"/>
      <c r="BH542" s="125"/>
      <c r="BI542" s="125"/>
      <c r="BJ542" s="125"/>
      <c r="BK542" s="125"/>
      <c r="BL542" s="125"/>
      <c r="BM542" s="125"/>
      <c r="BN542" s="125"/>
      <c r="BO542" s="125"/>
      <c r="BP542" s="125"/>
      <c r="BQ542" s="125"/>
      <c r="BR542" s="125"/>
      <c r="BS542" s="125"/>
      <c r="BT542" s="125"/>
      <c r="BU542" s="125"/>
    </row>
    <row r="543" spans="15:73"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F543" s="125"/>
      <c r="AG543" s="125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  <c r="AV543" s="125"/>
      <c r="AW543" s="125"/>
      <c r="AX543" s="125"/>
      <c r="AY543" s="125"/>
      <c r="AZ543" s="125"/>
      <c r="BA543" s="125"/>
      <c r="BB543" s="125"/>
      <c r="BC543" s="125"/>
      <c r="BD543" s="125"/>
      <c r="BE543" s="125"/>
      <c r="BF543" s="125"/>
      <c r="BG543" s="125"/>
      <c r="BH543" s="125"/>
      <c r="BI543" s="125"/>
      <c r="BJ543" s="125"/>
      <c r="BK543" s="125"/>
      <c r="BL543" s="125"/>
      <c r="BM543" s="125"/>
      <c r="BN543" s="125"/>
      <c r="BO543" s="125"/>
      <c r="BP543" s="125"/>
      <c r="BQ543" s="125"/>
      <c r="BR543" s="125"/>
      <c r="BS543" s="125"/>
      <c r="BT543" s="125"/>
      <c r="BU543" s="125"/>
    </row>
  </sheetData>
  <dataConsolidate link="1"/>
  <phoneticPr fontId="12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1"/>
  <sheetViews>
    <sheetView showGridLines="0" topLeftCell="A19" zoomScale="70" zoomScaleNormal="70" workbookViewId="0">
      <selection activeCell="C40" sqref="C40"/>
    </sheetView>
  </sheetViews>
  <sheetFormatPr defaultColWidth="9.109375" defaultRowHeight="13.2"/>
  <cols>
    <col min="1" max="1" width="16" style="18" customWidth="1"/>
    <col min="2" max="2" width="12.33203125" style="18" bestFit="1" customWidth="1"/>
    <col min="3" max="3" width="11.6640625" style="18" bestFit="1" customWidth="1"/>
    <col min="4" max="4" width="8.6640625" style="18" bestFit="1" customWidth="1"/>
    <col min="5" max="5" width="11.5546875" style="18" bestFit="1" customWidth="1"/>
    <col min="6" max="6" width="1.6640625" style="18" customWidth="1"/>
    <col min="7" max="9" width="11.5546875" style="18" bestFit="1" customWidth="1"/>
    <col min="10" max="10" width="10.6640625" style="18" customWidth="1"/>
    <col min="11" max="11" width="13.5546875" style="18" customWidth="1"/>
    <col min="12" max="12" width="11.6640625" style="18" bestFit="1" customWidth="1"/>
    <col min="13" max="16384" width="9.109375" style="18"/>
  </cols>
  <sheetData>
    <row r="1" spans="1:12" ht="13.8">
      <c r="A1" s="17" t="s">
        <v>199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3.8">
      <c r="A2" s="19"/>
      <c r="B2" s="187" t="s">
        <v>56</v>
      </c>
      <c r="C2" s="187"/>
      <c r="D2" s="187"/>
      <c r="E2" s="187"/>
      <c r="F2" s="23"/>
      <c r="G2" s="187" t="s">
        <v>57</v>
      </c>
      <c r="H2" s="187"/>
      <c r="I2" s="187"/>
      <c r="J2" s="19"/>
    </row>
    <row r="3" spans="1:12" ht="13.8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58</v>
      </c>
    </row>
    <row r="4" spans="1:12" ht="13.8">
      <c r="A4" s="26" t="s">
        <v>59</v>
      </c>
      <c r="B4" s="28" t="s">
        <v>60</v>
      </c>
      <c r="C4" s="28" t="s">
        <v>26</v>
      </c>
      <c r="D4" s="28" t="s">
        <v>27</v>
      </c>
      <c r="E4" s="30" t="s">
        <v>61</v>
      </c>
      <c r="F4" s="29"/>
      <c r="G4" s="28" t="s">
        <v>62</v>
      </c>
      <c r="H4" s="28" t="s">
        <v>63</v>
      </c>
      <c r="I4" s="28" t="s">
        <v>61</v>
      </c>
      <c r="J4" s="28" t="s">
        <v>64</v>
      </c>
    </row>
    <row r="5" spans="1:12" ht="14.4">
      <c r="A5" s="19"/>
      <c r="B5" s="188" t="s">
        <v>65</v>
      </c>
      <c r="C5" s="188"/>
      <c r="D5" s="188"/>
      <c r="E5" s="188"/>
      <c r="F5" s="188"/>
      <c r="G5" s="188"/>
      <c r="H5" s="188"/>
      <c r="I5" s="188"/>
      <c r="J5" s="188"/>
    </row>
    <row r="6" spans="1:12" ht="13.8">
      <c r="A6" s="19" t="s">
        <v>34</v>
      </c>
      <c r="B6" s="52">
        <v>341.33600000000001</v>
      </c>
      <c r="C6" s="53">
        <f>C23</f>
        <v>50564.716999999997</v>
      </c>
      <c r="D6" s="53">
        <f>D23</f>
        <v>784.46111611999993</v>
      </c>
      <c r="E6" s="37">
        <f>E23</f>
        <v>51690.514116120001</v>
      </c>
      <c r="F6" s="53"/>
      <c r="G6" s="53">
        <f>G23</f>
        <v>37674.379976930999</v>
      </c>
      <c r="H6" s="53">
        <f>H23</f>
        <v>13675.348139188998</v>
      </c>
      <c r="I6" s="53">
        <f>I23</f>
        <v>51349.728116120001</v>
      </c>
      <c r="J6" s="53">
        <f>J22</f>
        <v>340.786</v>
      </c>
    </row>
    <row r="7" spans="1:12" ht="16.2">
      <c r="A7" s="19" t="s">
        <v>35</v>
      </c>
      <c r="B7" s="52">
        <f>J6</f>
        <v>340.786</v>
      </c>
      <c r="C7" s="53">
        <v>51659.214</v>
      </c>
      <c r="D7" s="53">
        <v>600</v>
      </c>
      <c r="E7" s="37">
        <f>SUM(B7:D7)</f>
        <v>52600</v>
      </c>
      <c r="F7" s="53"/>
      <c r="G7" s="53">
        <v>38500</v>
      </c>
      <c r="H7" s="53">
        <v>13700</v>
      </c>
      <c r="I7" s="53">
        <f>E7-J7</f>
        <v>52200</v>
      </c>
      <c r="J7" s="53">
        <v>400</v>
      </c>
    </row>
    <row r="8" spans="1:12" ht="16.2">
      <c r="A8" s="19" t="s">
        <v>36</v>
      </c>
      <c r="B8" s="52">
        <f>J7</f>
        <v>400</v>
      </c>
      <c r="C8" s="53">
        <v>52850</v>
      </c>
      <c r="D8" s="53">
        <v>450</v>
      </c>
      <c r="E8" s="37">
        <f>SUM(B8:D8)</f>
        <v>53700</v>
      </c>
      <c r="F8" s="53"/>
      <c r="G8" s="53">
        <v>39200</v>
      </c>
      <c r="H8" s="53">
        <v>14000</v>
      </c>
      <c r="I8" s="53">
        <f>E8-J8</f>
        <v>53200</v>
      </c>
      <c r="J8" s="53">
        <v>500</v>
      </c>
    </row>
    <row r="9" spans="1:12" ht="13.8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2" ht="13.8">
      <c r="A10" s="55" t="s">
        <v>34</v>
      </c>
      <c r="B10" s="56"/>
      <c r="C10" s="7"/>
      <c r="D10" s="7"/>
      <c r="E10" s="7"/>
      <c r="F10" s="7"/>
      <c r="G10" s="7"/>
      <c r="H10" s="7"/>
      <c r="I10" s="7"/>
      <c r="J10" s="7"/>
    </row>
    <row r="11" spans="1:12" ht="14.4">
      <c r="A11" s="23" t="s">
        <v>38</v>
      </c>
      <c r="B11" s="56">
        <v>341.33600000000001</v>
      </c>
      <c r="C11" s="7">
        <v>4615.5919999999996</v>
      </c>
      <c r="D11" s="7">
        <f>(63195.1*1.10231)/1000</f>
        <v>69.660590680999988</v>
      </c>
      <c r="E11" s="7">
        <f t="shared" ref="E11:E17" si="0">SUM(B11:D11)</f>
        <v>5026.5885906809999</v>
      </c>
      <c r="F11" s="6"/>
      <c r="G11" s="5">
        <f t="shared" ref="G11:G17" si="1">I11-H11</f>
        <v>3544.4687225500002</v>
      </c>
      <c r="H11" s="7">
        <f>(1005090.1*1.10231)/1000</f>
        <v>1107.9208681309999</v>
      </c>
      <c r="I11" s="6">
        <f t="shared" ref="I11:I17" si="2">E11-J11</f>
        <v>4652.3895906810003</v>
      </c>
      <c r="J11" s="6">
        <v>374.19900000000001</v>
      </c>
      <c r="K11" s="129"/>
      <c r="L11" s="151"/>
    </row>
    <row r="12" spans="1:12" ht="14.4">
      <c r="A12" s="23" t="s">
        <v>39</v>
      </c>
      <c r="B12" s="56">
        <f t="shared" ref="B12:B17" si="3">J11</f>
        <v>374.19900000000001</v>
      </c>
      <c r="C12" s="7">
        <v>4516.2939999999999</v>
      </c>
      <c r="D12" s="7">
        <f>(61179.8*1.10231)/1000</f>
        <v>67.43910533799999</v>
      </c>
      <c r="E12" s="7">
        <f t="shared" si="0"/>
        <v>4957.932105337999</v>
      </c>
      <c r="F12" s="6"/>
      <c r="G12" s="5">
        <f t="shared" si="1"/>
        <v>3222.3227419899986</v>
      </c>
      <c r="H12" s="7">
        <f>(1158650.8*1.10231)/1000</f>
        <v>1277.1923633480001</v>
      </c>
      <c r="I12" s="6">
        <f t="shared" si="2"/>
        <v>4499.5151053379986</v>
      </c>
      <c r="J12" s="6">
        <v>458.41699999999997</v>
      </c>
      <c r="K12" s="129"/>
      <c r="L12" s="151"/>
    </row>
    <row r="13" spans="1:12" ht="14.4">
      <c r="A13" s="23" t="s">
        <v>41</v>
      </c>
      <c r="B13" s="56">
        <f t="shared" si="3"/>
        <v>458.41699999999997</v>
      </c>
      <c r="C13" s="7">
        <v>4540.9309999999996</v>
      </c>
      <c r="D13" s="7">
        <f>(58497.8*1.10231)/1000</f>
        <v>64.482709917999998</v>
      </c>
      <c r="E13" s="7">
        <f t="shared" si="0"/>
        <v>5063.8307099180001</v>
      </c>
      <c r="F13" s="6"/>
      <c r="G13" s="5">
        <f t="shared" si="1"/>
        <v>3255.1817001230002</v>
      </c>
      <c r="H13" s="7">
        <f>(1314744.5*1.10231)/1000</f>
        <v>1449.256009795</v>
      </c>
      <c r="I13" s="6">
        <f t="shared" si="2"/>
        <v>4704.4377099180001</v>
      </c>
      <c r="J13" s="6">
        <v>359.39299999999997</v>
      </c>
      <c r="K13" s="129"/>
      <c r="L13" s="151"/>
    </row>
    <row r="14" spans="1:12" ht="14.4">
      <c r="A14" s="23" t="s">
        <v>42</v>
      </c>
      <c r="B14" s="56">
        <f t="shared" si="3"/>
        <v>359.39299999999997</v>
      </c>
      <c r="C14" s="7">
        <v>4665.6540000000005</v>
      </c>
      <c r="D14" s="7">
        <f>(62047.8*1.10231)/1000</f>
        <v>68.395910418</v>
      </c>
      <c r="E14" s="7">
        <f t="shared" si="0"/>
        <v>5093.4429104180008</v>
      </c>
      <c r="F14" s="6"/>
      <c r="G14" s="5">
        <f t="shared" si="1"/>
        <v>3127.8642276620008</v>
      </c>
      <c r="H14" s="7">
        <f>(1278927.6*1.10231)/1000</f>
        <v>1409.7746827559999</v>
      </c>
      <c r="I14" s="6">
        <f t="shared" si="2"/>
        <v>4537.6389104180007</v>
      </c>
      <c r="J14" s="6">
        <v>555.80399999999997</v>
      </c>
      <c r="K14" s="129"/>
      <c r="L14" s="151"/>
    </row>
    <row r="15" spans="1:12" ht="14.4">
      <c r="A15" s="23" t="s">
        <v>43</v>
      </c>
      <c r="B15" s="56">
        <f t="shared" si="3"/>
        <v>555.80399999999997</v>
      </c>
      <c r="C15" s="7">
        <v>3918.6709999999998</v>
      </c>
      <c r="D15" s="7">
        <f>(60890.6*1.10231)/1000</f>
        <v>67.120317285999988</v>
      </c>
      <c r="E15" s="7">
        <f t="shared" si="0"/>
        <v>4541.595317285999</v>
      </c>
      <c r="F15" s="6"/>
      <c r="G15" s="5">
        <f t="shared" si="1"/>
        <v>2672.9096129209993</v>
      </c>
      <c r="H15" s="7">
        <f>(1165391.5*1.10231)/1000</f>
        <v>1284.6227043649999</v>
      </c>
      <c r="I15" s="6">
        <f t="shared" si="2"/>
        <v>3957.5323172859989</v>
      </c>
      <c r="J15" s="6">
        <v>584.06299999999999</v>
      </c>
      <c r="K15" s="129"/>
      <c r="L15" s="151"/>
    </row>
    <row r="16" spans="1:12" ht="14.4">
      <c r="A16" s="23" t="s">
        <v>45</v>
      </c>
      <c r="B16" s="56">
        <f t="shared" si="3"/>
        <v>584.06299999999999</v>
      </c>
      <c r="C16" s="7">
        <v>4476.5870000000004</v>
      </c>
      <c r="D16" s="7">
        <f>(66438.8*1.10231)/1000</f>
        <v>73.236153627999997</v>
      </c>
      <c r="E16" s="7">
        <f t="shared" si="0"/>
        <v>5133.8861536280001</v>
      </c>
      <c r="F16" s="6"/>
      <c r="G16" s="5">
        <f t="shared" si="1"/>
        <v>3372.0660884400004</v>
      </c>
      <c r="H16" s="7">
        <f>(1192114.8*1.10231)/1000</f>
        <v>1314.0800651879999</v>
      </c>
      <c r="I16" s="6">
        <f t="shared" si="2"/>
        <v>4686.1461536280003</v>
      </c>
      <c r="J16" s="6">
        <v>447.74</v>
      </c>
      <c r="K16" s="129"/>
      <c r="L16" s="151"/>
    </row>
    <row r="17" spans="1:12" ht="14.4">
      <c r="A17" s="23" t="s">
        <v>46</v>
      </c>
      <c r="B17" s="56">
        <f t="shared" si="3"/>
        <v>447.74</v>
      </c>
      <c r="C17" s="7">
        <v>4044.7089999999998</v>
      </c>
      <c r="D17" s="7">
        <f>(61752.3*1.10231)/1000</f>
        <v>68.070177813000001</v>
      </c>
      <c r="E17" s="7">
        <f t="shared" si="0"/>
        <v>4560.5191778129993</v>
      </c>
      <c r="F17" s="6"/>
      <c r="G17" s="5">
        <f t="shared" si="1"/>
        <v>3053.2937507819988</v>
      </c>
      <c r="H17" s="7">
        <f>(957280.1*1.10231)/1000</f>
        <v>1055.2194270309999</v>
      </c>
      <c r="I17" s="6">
        <f t="shared" si="2"/>
        <v>4108.5131778129989</v>
      </c>
      <c r="J17" s="6">
        <v>452.00599999999997</v>
      </c>
      <c r="K17" s="129"/>
      <c r="L17" s="151"/>
    </row>
    <row r="18" spans="1:12" ht="14.4">
      <c r="A18" s="23" t="s">
        <v>47</v>
      </c>
      <c r="B18" s="56">
        <f t="shared" ref="B18" si="4">J17</f>
        <v>452.00599999999997</v>
      </c>
      <c r="C18" s="7">
        <v>4122.884</v>
      </c>
      <c r="D18" s="7">
        <f>(59445.5*1.10231)/1000</f>
        <v>65.527369104999991</v>
      </c>
      <c r="E18" s="7">
        <f>SUM(B18:D18)</f>
        <v>4640.417369105</v>
      </c>
      <c r="F18" s="6"/>
      <c r="G18" s="5">
        <f t="shared" ref="G18:G22" si="5">I18-H18</f>
        <v>2945.1746302230003</v>
      </c>
      <c r="H18" s="7">
        <f>(955982.2*1.10231)/1000</f>
        <v>1053.788738882</v>
      </c>
      <c r="I18" s="6">
        <f>E18-J18</f>
        <v>3998.9633691050003</v>
      </c>
      <c r="J18" s="6">
        <v>641.45399999999995</v>
      </c>
      <c r="K18" s="129"/>
      <c r="L18" s="151"/>
    </row>
    <row r="19" spans="1:12" ht="14.4">
      <c r="A19" s="23" t="s">
        <v>49</v>
      </c>
      <c r="B19" s="56">
        <f>J18</f>
        <v>641.45399999999995</v>
      </c>
      <c r="C19" s="7">
        <v>3833.951</v>
      </c>
      <c r="D19" s="7">
        <f>(57660*1.10231)/1000</f>
        <v>63.559194599999998</v>
      </c>
      <c r="E19" s="7">
        <f>SUM(B19:D19)</f>
        <v>4538.9641946000002</v>
      </c>
      <c r="F19" s="6"/>
      <c r="G19" s="5">
        <f t="shared" si="5"/>
        <v>3229.4212654980001</v>
      </c>
      <c r="H19" s="7">
        <f>(789744.2*1.10231)/1000</f>
        <v>870.5429291019999</v>
      </c>
      <c r="I19" s="6">
        <f>E19-J19</f>
        <v>4099.9641946000002</v>
      </c>
      <c r="J19" s="6">
        <v>439</v>
      </c>
      <c r="K19" s="129"/>
      <c r="L19" s="151"/>
    </row>
    <row r="20" spans="1:12" ht="14.4">
      <c r="A20" s="23" t="s">
        <v>50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2937.5170743940002</v>
      </c>
      <c r="H20" s="7">
        <f>(979606.2*1.10231)/1000</f>
        <v>1079.8297103219998</v>
      </c>
      <c r="I20" s="6">
        <f>E20-J20</f>
        <v>4017.346784716</v>
      </c>
      <c r="J20" s="6">
        <v>476.82600000000002</v>
      </c>
      <c r="K20" s="129"/>
      <c r="L20" s="151"/>
    </row>
    <row r="21" spans="1:12" ht="14.4">
      <c r="A21" s="23" t="s">
        <v>51</v>
      </c>
      <c r="B21" s="56">
        <f>J20</f>
        <v>476.82600000000002</v>
      </c>
      <c r="C21" s="7">
        <v>3995.2939999999999</v>
      </c>
      <c r="D21" s="7">
        <f>(42842.6*1.10231)/1000</f>
        <v>47.225826405999996</v>
      </c>
      <c r="E21" s="7">
        <f>SUM(B21:D21)</f>
        <v>4519.345826406</v>
      </c>
      <c r="F21" s="6"/>
      <c r="G21" s="5">
        <f t="shared" si="5"/>
        <v>3202.4835883550004</v>
      </c>
      <c r="H21" s="7">
        <f>(846722.1*1.10231)/1000</f>
        <v>933.35023805099991</v>
      </c>
      <c r="I21" s="6">
        <f>E21-J21</f>
        <v>4135.8338264060003</v>
      </c>
      <c r="J21" s="6">
        <v>383.512</v>
      </c>
      <c r="K21" s="129"/>
      <c r="L21" s="151"/>
    </row>
    <row r="22" spans="1:12" ht="14.4">
      <c r="A22" s="23" t="s">
        <v>37</v>
      </c>
      <c r="B22" s="56">
        <f>J21</f>
        <v>383.512</v>
      </c>
      <c r="C22" s="7">
        <v>3867.6509999999998</v>
      </c>
      <c r="D22" s="7">
        <f>(37258.1*1.10231)/1000</f>
        <v>41.069976210999997</v>
      </c>
      <c r="E22" s="7">
        <f>SUM(B22:D22)</f>
        <v>4292.2329762109994</v>
      </c>
      <c r="F22" s="6"/>
      <c r="G22" s="5">
        <f t="shared" si="5"/>
        <v>3111.6765739929992</v>
      </c>
      <c r="H22" s="7">
        <f>(761827.8*1.10231)/1000</f>
        <v>839.77040221800007</v>
      </c>
      <c r="I22" s="6">
        <f>E22-J22</f>
        <v>3951.4469762109993</v>
      </c>
      <c r="J22" s="6">
        <v>340.786</v>
      </c>
      <c r="K22" s="129"/>
      <c r="L22" s="151"/>
    </row>
    <row r="23" spans="1:12" ht="13.8">
      <c r="A23" s="23" t="s">
        <v>28</v>
      </c>
      <c r="B23" s="56"/>
      <c r="C23" s="7">
        <f>SUM(C11:C22)</f>
        <v>50564.716999999997</v>
      </c>
      <c r="D23" s="7">
        <f>SUM(D11:D22)</f>
        <v>784.46111611999993</v>
      </c>
      <c r="E23" s="7">
        <f>B11+C23+D23</f>
        <v>51690.514116120001</v>
      </c>
      <c r="F23" s="7"/>
      <c r="G23" s="7">
        <f>SUM(G11:G22)</f>
        <v>37674.379976930999</v>
      </c>
      <c r="H23" s="7">
        <f>SUM(H11:H22)</f>
        <v>13675.348139188998</v>
      </c>
      <c r="I23" s="7">
        <f>SUM(I11:I22)</f>
        <v>51349.728116120001</v>
      </c>
      <c r="J23" s="7"/>
    </row>
    <row r="24" spans="1:12" ht="13.8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2" ht="13.8">
      <c r="A25" s="55" t="s">
        <v>53</v>
      </c>
      <c r="B25" s="56"/>
      <c r="C25" s="7"/>
      <c r="D25" s="7"/>
      <c r="E25" s="7"/>
      <c r="F25" s="7"/>
      <c r="G25" s="7"/>
      <c r="H25" s="7"/>
      <c r="I25" s="7"/>
      <c r="J25" s="7"/>
    </row>
    <row r="26" spans="1:12" ht="14.4">
      <c r="A26" s="23" t="s">
        <v>38</v>
      </c>
      <c r="B26" s="56">
        <f>J22</f>
        <v>340.786</v>
      </c>
      <c r="C26" s="7">
        <v>4591.6390000000001</v>
      </c>
      <c r="D26" s="7">
        <f>(56544.8*1.10231)/1000</f>
        <v>62.329898487999998</v>
      </c>
      <c r="E26" s="7">
        <f t="shared" ref="E26:E34" si="6">SUM(B26:D26)</f>
        <v>4994.7548984880004</v>
      </c>
      <c r="F26" s="7"/>
      <c r="G26" s="7">
        <f t="shared" ref="G26:G34" si="7">I26-H26</f>
        <v>3492.8235415470008</v>
      </c>
      <c r="H26" s="7">
        <f>(989241.1*1.10231)/1000</f>
        <v>1090.4503569409999</v>
      </c>
      <c r="I26" s="6">
        <f t="shared" ref="I26:I34" si="8">E26-J26</f>
        <v>4583.2738984880007</v>
      </c>
      <c r="J26" s="7">
        <v>411.48099999999999</v>
      </c>
      <c r="K26" s="129"/>
      <c r="L26" s="151"/>
    </row>
    <row r="27" spans="1:12" ht="14.4">
      <c r="A27" s="23" t="s">
        <v>39</v>
      </c>
      <c r="B27" s="56">
        <f t="shared" ref="B27:B34" si="9">J26</f>
        <v>411.48099999999999</v>
      </c>
      <c r="C27" s="7">
        <v>4456.7700000000004</v>
      </c>
      <c r="D27" s="7">
        <f>(33725.3*1.10231)/1000</f>
        <v>37.175735443000001</v>
      </c>
      <c r="E27" s="7">
        <f t="shared" si="6"/>
        <v>4905.4267354430003</v>
      </c>
      <c r="F27" s="7"/>
      <c r="G27" s="7">
        <f t="shared" si="7"/>
        <v>3282.1204081570004</v>
      </c>
      <c r="H27" s="7">
        <f>(1131890.6*1.10231)/1000</f>
        <v>1247.6943272859999</v>
      </c>
      <c r="I27" s="6">
        <f t="shared" si="8"/>
        <v>4529.8147354430002</v>
      </c>
      <c r="J27" s="7">
        <v>375.61200000000002</v>
      </c>
      <c r="K27" s="129"/>
      <c r="L27" s="151"/>
    </row>
    <row r="28" spans="1:12" ht="14.4">
      <c r="A28" s="23" t="s">
        <v>41</v>
      </c>
      <c r="B28" s="56">
        <f t="shared" si="9"/>
        <v>375.61200000000002</v>
      </c>
      <c r="C28" s="7">
        <v>4629.5519999999997</v>
      </c>
      <c r="D28" s="7">
        <f>(33571.6*1.10231)/1000</f>
        <v>37.006310395999996</v>
      </c>
      <c r="E28" s="7">
        <f t="shared" si="6"/>
        <v>5042.1703103959999</v>
      </c>
      <c r="F28" s="7"/>
      <c r="G28" s="7">
        <f t="shared" si="7"/>
        <v>3224.487584683</v>
      </c>
      <c r="H28" s="7">
        <f>(1275842.3*1.10231)/1000</f>
        <v>1406.3737257129999</v>
      </c>
      <c r="I28" s="6">
        <f t="shared" si="8"/>
        <v>4630.8613103959997</v>
      </c>
      <c r="J28" s="7">
        <v>411.30900000000003</v>
      </c>
      <c r="K28" s="129"/>
      <c r="L28" s="151"/>
    </row>
    <row r="29" spans="1:12" ht="14.4">
      <c r="A29" s="23" t="s">
        <v>42</v>
      </c>
      <c r="B29" s="56">
        <f t="shared" si="9"/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29"/>
      <c r="L29" s="151"/>
    </row>
    <row r="30" spans="1:12" ht="14.4">
      <c r="A30" s="23" t="s">
        <v>43</v>
      </c>
      <c r="B30" s="56">
        <f t="shared" si="9"/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29"/>
      <c r="L30" s="151"/>
    </row>
    <row r="31" spans="1:12" ht="14.4">
      <c r="A31" s="23" t="s">
        <v>45</v>
      </c>
      <c r="B31" s="56">
        <f t="shared" si="9"/>
        <v>385.87599999999998</v>
      </c>
      <c r="C31" s="7">
        <v>4549.6310000000003</v>
      </c>
      <c r="D31" s="7">
        <f>(36598.4*1.10231)/1000</f>
        <v>40.342782304000004</v>
      </c>
      <c r="E31" s="7">
        <f t="shared" si="6"/>
        <v>4975.8497823040007</v>
      </c>
      <c r="F31" s="7"/>
      <c r="G31" s="7">
        <f t="shared" si="7"/>
        <v>3397.5364563470011</v>
      </c>
      <c r="H31" s="7">
        <f>(1086214.7*1.10231)/1000</f>
        <v>1197.3453259569999</v>
      </c>
      <c r="I31" s="6">
        <f t="shared" si="8"/>
        <v>4594.8817823040008</v>
      </c>
      <c r="J31" s="7">
        <v>380.96800000000002</v>
      </c>
      <c r="K31" s="129"/>
      <c r="L31" s="151"/>
    </row>
    <row r="32" spans="1:12" ht="14.4">
      <c r="A32" s="23" t="s">
        <v>46</v>
      </c>
      <c r="B32" s="56">
        <f t="shared" si="9"/>
        <v>380.96800000000002</v>
      </c>
      <c r="C32" s="7">
        <v>4254.5450000000001</v>
      </c>
      <c r="D32" s="7">
        <f>(55089.9*1.10231)/1000</f>
        <v>60.726147668999999</v>
      </c>
      <c r="E32" s="7">
        <f t="shared" si="6"/>
        <v>4696.239147669</v>
      </c>
      <c r="F32" s="7"/>
      <c r="G32" s="7">
        <f t="shared" si="7"/>
        <v>3065.5731103500002</v>
      </c>
      <c r="H32" s="7">
        <f>(1075604.9*1.10231)/1000</f>
        <v>1185.6500373189999</v>
      </c>
      <c r="I32" s="6">
        <f t="shared" si="8"/>
        <v>4251.2231476690004</v>
      </c>
      <c r="J32" s="7">
        <v>445.01600000000002</v>
      </c>
      <c r="K32" s="129"/>
      <c r="L32" s="151"/>
    </row>
    <row r="33" spans="1:12" ht="14.4">
      <c r="A33" s="23" t="s">
        <v>47</v>
      </c>
      <c r="B33" s="56">
        <f t="shared" si="9"/>
        <v>445.01600000000002</v>
      </c>
      <c r="C33" s="7">
        <v>4260.0889999999999</v>
      </c>
      <c r="D33" s="155">
        <f>(66198.8*1.10231)/1000</f>
        <v>72.971599227999988</v>
      </c>
      <c r="E33" s="7">
        <f t="shared" si="6"/>
        <v>4778.0765992279994</v>
      </c>
      <c r="F33" s="7"/>
      <c r="G33" s="7">
        <f t="shared" si="7"/>
        <v>3171.9378907949995</v>
      </c>
      <c r="H33" s="155">
        <f>(1036354.3*1.10231)/1000</f>
        <v>1142.3837084329998</v>
      </c>
      <c r="I33" s="6">
        <f t="shared" si="8"/>
        <v>4314.3215992279993</v>
      </c>
      <c r="J33" s="7">
        <v>463.755</v>
      </c>
      <c r="K33" s="129"/>
      <c r="L33" s="151"/>
    </row>
    <row r="34" spans="1:12" ht="14.4">
      <c r="A34" s="17" t="s">
        <v>49</v>
      </c>
      <c r="B34" s="57">
        <f t="shared" si="9"/>
        <v>463.755</v>
      </c>
      <c r="C34" s="48">
        <v>4106.5650000000005</v>
      </c>
      <c r="D34" s="152">
        <f>(56052.6*1.10231)/1000</f>
        <v>61.78734150599999</v>
      </c>
      <c r="E34" s="48">
        <f t="shared" si="6"/>
        <v>4632.1073415060009</v>
      </c>
      <c r="F34" s="48"/>
      <c r="G34" s="48">
        <f t="shared" si="7"/>
        <v>3129.3458416380008</v>
      </c>
      <c r="H34" s="152">
        <f>(1039142.8*1.10231)/1000</f>
        <v>1145.457499868</v>
      </c>
      <c r="I34" s="64">
        <f t="shared" si="8"/>
        <v>4274.8033415060008</v>
      </c>
      <c r="J34" s="48">
        <v>357.30399999999997</v>
      </c>
      <c r="K34" s="129"/>
      <c r="L34"/>
    </row>
    <row r="35" spans="1:12" ht="16.2">
      <c r="A35" s="58" t="s">
        <v>66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2" ht="14.4">
      <c r="A36" s="19" t="s">
        <v>201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2" ht="13.8">
      <c r="A37" s="25" t="s">
        <v>55</v>
      </c>
      <c r="B37" s="50">
        <f ca="1">NOW()</f>
        <v>44789.312603472223</v>
      </c>
      <c r="C37" s="44"/>
      <c r="D37" s="38"/>
      <c r="E37" s="38"/>
      <c r="F37" s="38"/>
      <c r="G37" s="38"/>
      <c r="H37" s="38"/>
      <c r="I37" s="38"/>
      <c r="J37" s="38"/>
    </row>
    <row r="38" spans="1:12">
      <c r="A38" s="59"/>
      <c r="B38" s="60"/>
      <c r="C38" s="61"/>
      <c r="D38" s="60"/>
      <c r="E38" s="120"/>
      <c r="F38" s="60"/>
      <c r="G38" s="60"/>
      <c r="H38" s="62"/>
      <c r="I38" s="120"/>
      <c r="J38" s="60"/>
    </row>
    <row r="39" spans="1:12">
      <c r="A39" s="59"/>
      <c r="B39" s="60"/>
      <c r="C39" s="60"/>
      <c r="D39" s="60"/>
      <c r="E39" s="60"/>
      <c r="F39" s="60"/>
      <c r="G39" s="60"/>
      <c r="H39" s="60"/>
      <c r="I39" s="60"/>
      <c r="J39" s="60"/>
    </row>
    <row r="40" spans="1:12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2">
      <c r="A41" s="59"/>
      <c r="B41" s="59"/>
      <c r="C41" s="59"/>
      <c r="D41" s="59"/>
      <c r="E41" s="59"/>
      <c r="F41" s="59"/>
      <c r="G41" s="59"/>
      <c r="H41" s="59"/>
      <c r="I41" s="59"/>
      <c r="J41" s="59"/>
    </row>
  </sheetData>
  <mergeCells count="3">
    <mergeCell ref="G2:I2"/>
    <mergeCell ref="B5:J5"/>
    <mergeCell ref="B2:E2"/>
  </mergeCells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8"/>
  <sheetViews>
    <sheetView showGridLines="0" topLeftCell="A19" zoomScale="70" zoomScaleNormal="70" workbookViewId="0">
      <selection activeCell="B39" sqref="B39"/>
    </sheetView>
  </sheetViews>
  <sheetFormatPr defaultColWidth="9.109375" defaultRowHeight="13.2"/>
  <cols>
    <col min="1" max="1" width="15.44140625" style="18" customWidth="1"/>
    <col min="2" max="2" width="12.33203125" style="18" bestFit="1" customWidth="1"/>
    <col min="3" max="3" width="12.109375" style="18" bestFit="1" customWidth="1"/>
    <col min="4" max="4" width="11" style="18" bestFit="1" customWidth="1"/>
    <col min="5" max="5" width="11.33203125" style="18" bestFit="1" customWidth="1"/>
    <col min="6" max="6" width="3.6640625" style="18" customWidth="1"/>
    <col min="7" max="7" width="11.5546875" style="18" bestFit="1" customWidth="1"/>
    <col min="8" max="8" width="10.6640625" style="18" customWidth="1"/>
    <col min="9" max="9" width="12.6640625" style="18" customWidth="1"/>
    <col min="10" max="10" width="9.6640625" style="18" bestFit="1" customWidth="1"/>
    <col min="11" max="11" width="11.5546875" style="18" bestFit="1" customWidth="1"/>
    <col min="12" max="12" width="12.5546875" style="18" bestFit="1" customWidth="1"/>
    <col min="13" max="13" width="9.109375" style="18"/>
    <col min="14" max="14" width="11.109375" style="18" customWidth="1"/>
    <col min="15" max="16384" width="9.109375" style="18"/>
  </cols>
  <sheetData>
    <row r="1" spans="1:14" ht="13.8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3.8">
      <c r="A2" s="19"/>
      <c r="B2" s="187" t="s">
        <v>56</v>
      </c>
      <c r="C2" s="187"/>
      <c r="D2" s="187"/>
      <c r="E2" s="187"/>
      <c r="F2" s="23"/>
      <c r="G2" s="187" t="s">
        <v>57</v>
      </c>
      <c r="H2" s="187"/>
      <c r="I2" s="187"/>
      <c r="J2" s="153"/>
      <c r="K2" s="153"/>
      <c r="L2" s="19"/>
    </row>
    <row r="3" spans="1:14" ht="13.8">
      <c r="A3" s="19" t="s">
        <v>17</v>
      </c>
      <c r="B3" s="21" t="s">
        <v>67</v>
      </c>
      <c r="C3" s="40" t="s">
        <v>26</v>
      </c>
      <c r="D3" s="40" t="s">
        <v>68</v>
      </c>
      <c r="E3" s="40" t="s">
        <v>61</v>
      </c>
      <c r="F3" s="40"/>
      <c r="G3" s="153" t="s">
        <v>62</v>
      </c>
      <c r="H3" s="153"/>
      <c r="I3" s="153"/>
      <c r="J3" s="40" t="s">
        <v>69</v>
      </c>
      <c r="K3" s="40" t="s">
        <v>61</v>
      </c>
      <c r="L3" s="40" t="s">
        <v>58</v>
      </c>
    </row>
    <row r="4" spans="1:14" ht="16.2">
      <c r="A4" s="26" t="s">
        <v>59</v>
      </c>
      <c r="B4" s="28" t="s">
        <v>60</v>
      </c>
      <c r="C4" s="29"/>
      <c r="D4" s="29"/>
      <c r="E4" s="29"/>
      <c r="F4" s="29"/>
      <c r="G4" s="28" t="s">
        <v>28</v>
      </c>
      <c r="H4" s="28" t="s">
        <v>70</v>
      </c>
      <c r="I4" s="28" t="s">
        <v>71</v>
      </c>
      <c r="J4" s="29"/>
      <c r="K4" s="29"/>
      <c r="L4" s="40" t="s">
        <v>64</v>
      </c>
    </row>
    <row r="5" spans="1:14" ht="14.4">
      <c r="A5" s="19"/>
      <c r="B5" s="189" t="s">
        <v>72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4" ht="13.8">
      <c r="A6" s="19" t="s">
        <v>34</v>
      </c>
      <c r="B6" s="54">
        <v>1852.675</v>
      </c>
      <c r="C6" s="54">
        <f>C23</f>
        <v>25022.667000000001</v>
      </c>
      <c r="D6" s="54">
        <f>D23</f>
        <v>301.5817074144</v>
      </c>
      <c r="E6" s="54">
        <f>E23</f>
        <v>27176.9237074144</v>
      </c>
      <c r="F6" s="54"/>
      <c r="G6" s="54">
        <f>G23</f>
        <v>23314.331825683603</v>
      </c>
      <c r="H6" s="54">
        <f t="shared" ref="H6:J6" si="0">H23</f>
        <v>8849.5114432999999</v>
      </c>
      <c r="I6" s="37">
        <f t="shared" si="0"/>
        <v>14464.820382383601</v>
      </c>
      <c r="J6" s="54">
        <f t="shared" si="0"/>
        <v>1731.3588817307998</v>
      </c>
      <c r="K6" s="54">
        <f>E6-L6</f>
        <v>25045.6907074144</v>
      </c>
      <c r="L6" s="54">
        <f>L22</f>
        <v>2131.2330000000002</v>
      </c>
      <c r="M6" s="115"/>
    </row>
    <row r="7" spans="1:14" ht="16.2">
      <c r="A7" s="19" t="s">
        <v>35</v>
      </c>
      <c r="B7" s="54">
        <f>L6</f>
        <v>2131.2330000000002</v>
      </c>
      <c r="C7" s="54">
        <v>26105</v>
      </c>
      <c r="D7" s="54">
        <v>325</v>
      </c>
      <c r="E7" s="54">
        <f>SUM(B7:D7)</f>
        <v>28561.233</v>
      </c>
      <c r="F7" s="54"/>
      <c r="G7" s="54">
        <f>K7-J7</f>
        <v>24685</v>
      </c>
      <c r="H7" s="54">
        <v>10500</v>
      </c>
      <c r="I7" s="37">
        <f>G7-H7</f>
        <v>14185</v>
      </c>
      <c r="J7" s="54">
        <v>1775</v>
      </c>
      <c r="K7" s="54">
        <f>E7-L7</f>
        <v>26460</v>
      </c>
      <c r="L7" s="54">
        <v>2101.2330000000002</v>
      </c>
    </row>
    <row r="8" spans="1:14" ht="16.2">
      <c r="A8" s="19" t="s">
        <v>36</v>
      </c>
      <c r="B8" s="54">
        <f>L7</f>
        <v>2101.2330000000002</v>
      </c>
      <c r="C8" s="54">
        <v>26310</v>
      </c>
      <c r="D8" s="54">
        <v>500</v>
      </c>
      <c r="E8" s="54">
        <f>SUM(B8:D8)</f>
        <v>28911.233</v>
      </c>
      <c r="F8" s="54"/>
      <c r="G8" s="54">
        <f>K8-J8</f>
        <v>25700</v>
      </c>
      <c r="H8" s="54">
        <v>12000</v>
      </c>
      <c r="I8" s="37">
        <f>G8-H8</f>
        <v>13700</v>
      </c>
      <c r="J8" s="54">
        <v>1400</v>
      </c>
      <c r="K8" s="54">
        <f>E8-L8</f>
        <v>27100</v>
      </c>
      <c r="L8" s="54">
        <v>1811.2330000000002</v>
      </c>
    </row>
    <row r="9" spans="1:14" ht="13.8">
      <c r="A9" s="19"/>
      <c r="B9" s="54"/>
      <c r="C9" s="54"/>
      <c r="D9" s="54"/>
      <c r="E9" s="54"/>
      <c r="F9" s="54"/>
      <c r="G9" s="54"/>
      <c r="H9" s="54"/>
      <c r="I9" s="116"/>
      <c r="J9" s="54"/>
      <c r="K9" s="54"/>
      <c r="L9" s="54"/>
    </row>
    <row r="10" spans="1:14" ht="13.8">
      <c r="A10" s="41" t="s">
        <v>34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4" ht="13.8">
      <c r="A11" s="23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  <c r="N11" s="151"/>
    </row>
    <row r="12" spans="1:14" ht="13.8">
      <c r="A12" s="23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1902.0001620059995</v>
      </c>
      <c r="H12" s="7">
        <v>753.16669999999999</v>
      </c>
      <c r="I12" s="7">
        <f t="shared" si="3"/>
        <v>1148.8334620059995</v>
      </c>
      <c r="J12" s="7">
        <f>(80211.1*2204.622)/1000000</f>
        <v>176.83515570419999</v>
      </c>
      <c r="K12" s="7">
        <f t="shared" si="4"/>
        <v>2078.8353177101994</v>
      </c>
      <c r="L12" s="6">
        <v>2117.0970000000002</v>
      </c>
      <c r="N12" s="151"/>
    </row>
    <row r="13" spans="1:14" ht="13.8">
      <c r="A13" s="23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2030.3938453386002</v>
      </c>
      <c r="H13" s="7">
        <v>814.16669999999999</v>
      </c>
      <c r="I13" s="7">
        <f t="shared" si="3"/>
        <v>1216.2271453386002</v>
      </c>
      <c r="J13" s="7">
        <f>(106438.1*2204.622)/1000000</f>
        <v>234.6557768982</v>
      </c>
      <c r="K13" s="7">
        <f t="shared" si="4"/>
        <v>2265.0496222368001</v>
      </c>
      <c r="L13" s="6">
        <v>2110.7860000000001</v>
      </c>
      <c r="N13" s="151"/>
    </row>
    <row r="14" spans="1:14" ht="13.8">
      <c r="A14" s="23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1804.7204637692003</v>
      </c>
      <c r="H14" s="7">
        <v>682.87599999999998</v>
      </c>
      <c r="I14" s="7">
        <f t="shared" si="3"/>
        <v>1121.8444637692003</v>
      </c>
      <c r="J14" s="7">
        <f>(148690.9*2204.622)/1000000</f>
        <v>327.80722933979996</v>
      </c>
      <c r="K14" s="7">
        <f t="shared" si="4"/>
        <v>2132.5276931090002</v>
      </c>
      <c r="L14" s="6">
        <v>2305.991</v>
      </c>
      <c r="N14" s="151"/>
    </row>
    <row r="15" spans="1:14" ht="13.8">
      <c r="A15" s="23" t="s">
        <v>43</v>
      </c>
      <c r="B15" s="6">
        <f t="shared" si="5"/>
        <v>2305.991</v>
      </c>
      <c r="C15" s="7">
        <v>1924.749</v>
      </c>
      <c r="D15" s="7">
        <f>(9688.5*2204.622)/1000000</f>
        <v>21.359480246999997</v>
      </c>
      <c r="E15" s="7">
        <f t="shared" si="1"/>
        <v>4252.0994802469995</v>
      </c>
      <c r="F15" s="6"/>
      <c r="G15" s="6">
        <f t="shared" si="2"/>
        <v>1691.0133458537998</v>
      </c>
      <c r="H15" s="7">
        <v>552.22799999999995</v>
      </c>
      <c r="I15" s="7">
        <f t="shared" si="3"/>
        <v>1138.7853458537998</v>
      </c>
      <c r="J15" s="7">
        <f>(115710.6*2204.622)/1000000</f>
        <v>255.09813439319998</v>
      </c>
      <c r="K15" s="7">
        <f t="shared" si="4"/>
        <v>1946.1114802469997</v>
      </c>
      <c r="L15" s="6">
        <v>2305.9879999999998</v>
      </c>
      <c r="N15" s="151"/>
    </row>
    <row r="16" spans="1:14" ht="13.8">
      <c r="A16" s="23" t="s">
        <v>45</v>
      </c>
      <c r="B16" s="6">
        <f t="shared" si="5"/>
        <v>2305.9879999999998</v>
      </c>
      <c r="C16" s="7">
        <v>2222.123</v>
      </c>
      <c r="D16" s="7">
        <f>(9723.5*2204.622)/1000000</f>
        <v>21.436642016999997</v>
      </c>
      <c r="E16" s="7">
        <f t="shared" si="1"/>
        <v>4549.5476420169998</v>
      </c>
      <c r="F16" s="6"/>
      <c r="G16" s="6">
        <f t="shared" si="2"/>
        <v>2147.7624239259999</v>
      </c>
      <c r="H16" s="7">
        <v>740.35334330000001</v>
      </c>
      <c r="I16" s="7">
        <f t="shared" si="3"/>
        <v>1407.4090806259999</v>
      </c>
      <c r="J16" s="7">
        <f>(70990.5*2204.622)/1000000</f>
        <v>156.507218091</v>
      </c>
      <c r="K16" s="7">
        <f t="shared" si="4"/>
        <v>2304.269642017</v>
      </c>
      <c r="L16" s="6">
        <v>2245.2779999999998</v>
      </c>
      <c r="N16" s="151"/>
    </row>
    <row r="17" spans="1:14" ht="13.8">
      <c r="A17" s="23" t="s">
        <v>46</v>
      </c>
      <c r="B17" s="6">
        <f t="shared" si="5"/>
        <v>2245.2779999999998</v>
      </c>
      <c r="C17" s="7">
        <v>1991.877</v>
      </c>
      <c r="D17" s="7">
        <f>(9272.8*2204.622)/1000000</f>
        <v>20.443018881599997</v>
      </c>
      <c r="E17" s="7">
        <f t="shared" si="1"/>
        <v>4257.5980188816002</v>
      </c>
      <c r="F17" s="6"/>
      <c r="G17" s="6">
        <f t="shared" si="2"/>
        <v>1950.4267469655999</v>
      </c>
      <c r="H17" s="7">
        <v>699.93299999999999</v>
      </c>
      <c r="I17" s="7">
        <f t="shared" ref="I17:I22" si="6">G17-H17</f>
        <v>1250.4937469655999</v>
      </c>
      <c r="J17" s="7">
        <f>(58778*2204.622)/1000000</f>
        <v>129.583271916</v>
      </c>
      <c r="K17" s="7">
        <f t="shared" si="4"/>
        <v>2080.0100188816</v>
      </c>
      <c r="L17" s="6">
        <v>2177.5880000000002</v>
      </c>
      <c r="N17" s="151"/>
    </row>
    <row r="18" spans="1:14" ht="13.8">
      <c r="A18" s="23" t="s">
        <v>47</v>
      </c>
      <c r="B18" s="6">
        <f t="shared" ref="B18" si="7">L17</f>
        <v>2177.5880000000002</v>
      </c>
      <c r="C18" s="7">
        <v>2043.135</v>
      </c>
      <c r="D18" s="7">
        <f>(7432*2204.622)/1000000</f>
        <v>16.384750703999998</v>
      </c>
      <c r="E18" s="7">
        <f t="shared" ref="E18:E22" si="8">SUM(B18:D18)</f>
        <v>4237.107750704</v>
      </c>
      <c r="F18" s="6"/>
      <c r="G18" s="6">
        <f>K18-J18</f>
        <v>2018.9865195630002</v>
      </c>
      <c r="H18" s="7">
        <v>787.56200000000001</v>
      </c>
      <c r="I18" s="7">
        <f t="shared" si="6"/>
        <v>1231.4245195630001</v>
      </c>
      <c r="J18" s="7">
        <f>(32265.5*2204.622)/1000000</f>
        <v>71.133231140999982</v>
      </c>
      <c r="K18" s="7">
        <f>E18-L18</f>
        <v>2090.1197507040001</v>
      </c>
      <c r="L18" s="6">
        <v>2146.9879999999998</v>
      </c>
      <c r="N18" s="151"/>
    </row>
    <row r="19" spans="1:14" ht="13.8">
      <c r="A19" s="23" t="s">
        <v>49</v>
      </c>
      <c r="B19" s="6">
        <f>L18</f>
        <v>2146.9879999999998</v>
      </c>
      <c r="C19" s="7">
        <v>1908.6489999999999</v>
      </c>
      <c r="D19" s="7">
        <f>(11856.9*2204.622)/1000000</f>
        <v>26.139982591799996</v>
      </c>
      <c r="E19" s="7">
        <f t="shared" si="8"/>
        <v>4081.7769825917999</v>
      </c>
      <c r="F19" s="6"/>
      <c r="G19" s="6">
        <f>K19-J19</f>
        <v>1889.5118995415999</v>
      </c>
      <c r="H19" s="7">
        <v>663.33</v>
      </c>
      <c r="I19" s="7">
        <f t="shared" si="6"/>
        <v>1226.1818995415997</v>
      </c>
      <c r="J19" s="7">
        <f>(41554.1*2204.622)/1000000</f>
        <v>91.61108305019998</v>
      </c>
      <c r="K19" s="7">
        <f>E19-L19</f>
        <v>1981.1229825917999</v>
      </c>
      <c r="L19" s="6">
        <v>2100.654</v>
      </c>
      <c r="N19" s="151"/>
    </row>
    <row r="20" spans="1:14" ht="13.8">
      <c r="A20" s="23" t="s">
        <v>50</v>
      </c>
      <c r="B20" s="6">
        <f>L19</f>
        <v>2100.654</v>
      </c>
      <c r="C20" s="7">
        <v>1972.6880000000001</v>
      </c>
      <c r="D20" s="7">
        <f>(14747.8*2204.622)/1000000</f>
        <v>32.513324331599996</v>
      </c>
      <c r="E20" s="7">
        <f t="shared" si="8"/>
        <v>4105.8553243316001</v>
      </c>
      <c r="F20" s="6"/>
      <c r="G20" s="6">
        <f>K20-J20</f>
        <v>2005.5471758732001</v>
      </c>
      <c r="H20" s="7">
        <v>791.97900000000004</v>
      </c>
      <c r="I20" s="7">
        <f t="shared" si="6"/>
        <v>1213.5681758732001</v>
      </c>
      <c r="J20" s="7">
        <f>(13697.2*2204.622)/1000000</f>
        <v>30.197148458400001</v>
      </c>
      <c r="K20" s="7">
        <f>E20-L20</f>
        <v>2035.7443243316002</v>
      </c>
      <c r="L20" s="6">
        <v>2070.1109999999999</v>
      </c>
      <c r="N20" s="151"/>
    </row>
    <row r="21" spans="1:14" ht="13.8">
      <c r="A21" s="23" t="s">
        <v>51</v>
      </c>
      <c r="B21" s="6">
        <f>L20</f>
        <v>2070.1109999999999</v>
      </c>
      <c r="C21" s="7">
        <v>1989.7329999999999</v>
      </c>
      <c r="D21" s="7">
        <f>(19314.2*2204.622)/1000000</f>
        <v>42.580510232400002</v>
      </c>
      <c r="E21" s="7">
        <f t="shared" si="8"/>
        <v>4102.4245102324003</v>
      </c>
      <c r="F21" s="6"/>
      <c r="G21" s="6">
        <f>K21-J21</f>
        <v>1880.2042092524005</v>
      </c>
      <c r="H21" s="7">
        <v>814.73500000000001</v>
      </c>
      <c r="I21" s="7">
        <f t="shared" si="6"/>
        <v>1065.4692092524006</v>
      </c>
      <c r="J21" s="7">
        <f>(17590*2204.622)/1000000</f>
        <v>38.779300979999995</v>
      </c>
      <c r="K21" s="7">
        <f>E21-L21</f>
        <v>1918.9835102324005</v>
      </c>
      <c r="L21" s="6">
        <v>2183.4409999999998</v>
      </c>
      <c r="N21" s="151"/>
    </row>
    <row r="22" spans="1:14" ht="13.8">
      <c r="A22" s="23" t="s">
        <v>37</v>
      </c>
      <c r="B22" s="6">
        <f>L21</f>
        <v>2183.4409999999998</v>
      </c>
      <c r="C22" s="7">
        <v>1938.212</v>
      </c>
      <c r="D22" s="7">
        <f>(15831.8*2204.622)/1000000</f>
        <v>34.9031345796</v>
      </c>
      <c r="E22" s="7">
        <f t="shared" si="8"/>
        <v>4156.5561345796004</v>
      </c>
      <c r="F22" s="6"/>
      <c r="G22" s="6">
        <f>K22-J22</f>
        <v>1991.4559518778003</v>
      </c>
      <c r="H22" s="7">
        <v>756.01499999999999</v>
      </c>
      <c r="I22" s="7">
        <f t="shared" si="6"/>
        <v>1235.4409518778002</v>
      </c>
      <c r="J22" s="7">
        <f>(15361.9*2204.622)/1000000</f>
        <v>33.867182701799997</v>
      </c>
      <c r="K22" s="7">
        <f>E22-L22</f>
        <v>2025.3231345796003</v>
      </c>
      <c r="L22" s="6">
        <v>2131.2330000000002</v>
      </c>
      <c r="N22" s="151"/>
    </row>
    <row r="23" spans="1:14" ht="13.8">
      <c r="A23" s="23" t="s">
        <v>28</v>
      </c>
      <c r="B23" s="6"/>
      <c r="C23" s="7">
        <f>SUM(C11:C22)</f>
        <v>25022.667000000001</v>
      </c>
      <c r="D23" s="7">
        <f>SUM(D11:D22)</f>
        <v>301.5817074144</v>
      </c>
      <c r="E23" s="7">
        <f>B11+C23+D23</f>
        <v>27176.9237074144</v>
      </c>
      <c r="F23" s="6"/>
      <c r="G23" s="6">
        <f>SUM(G11:G22)</f>
        <v>23314.331825683603</v>
      </c>
      <c r="H23" s="7">
        <f>SUM(H11:H22)</f>
        <v>8849.5114432999999</v>
      </c>
      <c r="I23" s="7">
        <f>SUM(I11:I22)</f>
        <v>14464.820382383601</v>
      </c>
      <c r="J23" s="7">
        <f>SUM(J11:J22)</f>
        <v>1731.3588817307998</v>
      </c>
      <c r="K23" s="6">
        <f>SUM(K11:K22)</f>
        <v>25045.690707414404</v>
      </c>
      <c r="L23" s="6"/>
    </row>
    <row r="24" spans="1:14" ht="13.8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1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3" t="s">
        <v>38</v>
      </c>
      <c r="B26" s="6">
        <f>L22</f>
        <v>2131.2330000000002</v>
      </c>
      <c r="C26" s="7">
        <v>2347.58</v>
      </c>
      <c r="D26" s="7">
        <f>(16251.7*2204.622)/1000000</f>
        <v>35.828855357400002</v>
      </c>
      <c r="E26" s="7">
        <f t="shared" ref="E26:E30" si="9">SUM(B26:D26)</f>
        <v>4514.6418553574003</v>
      </c>
      <c r="F26" s="6"/>
      <c r="G26" s="6">
        <f t="shared" ref="G26:G34" si="10">K26-J26</f>
        <v>2071.1409910572002</v>
      </c>
      <c r="H26" s="7">
        <v>832.42700000000002</v>
      </c>
      <c r="I26" s="7">
        <f t="shared" ref="I26:I33" si="11">G26-H26</f>
        <v>1238.7139910572</v>
      </c>
      <c r="J26" s="7">
        <f>(25929.1*2204.622)/1000000</f>
        <v>57.16386430019999</v>
      </c>
      <c r="K26" s="7">
        <f t="shared" ref="K26:K34" si="12">E26-L26</f>
        <v>2128.3048553574004</v>
      </c>
      <c r="L26" s="6">
        <v>2386.337</v>
      </c>
      <c r="N26" s="151"/>
    </row>
    <row r="27" spans="1:14" ht="13.8">
      <c r="A27" s="23" t="s">
        <v>39</v>
      </c>
      <c r="B27" s="6">
        <f t="shared" ref="B27:B34" si="13">L26</f>
        <v>2386.337</v>
      </c>
      <c r="C27" s="7">
        <v>2235.37</v>
      </c>
      <c r="D27" s="7">
        <f>(15479.7*2204.622)/1000000</f>
        <v>34.1268871734</v>
      </c>
      <c r="E27" s="7">
        <f t="shared" si="9"/>
        <v>4655.8338871734004</v>
      </c>
      <c r="F27" s="6"/>
      <c r="G27" s="6">
        <f t="shared" si="10"/>
        <v>2020.5919628710003</v>
      </c>
      <c r="H27" s="7">
        <v>818.01271279999992</v>
      </c>
      <c r="I27" s="7">
        <f t="shared" si="11"/>
        <v>1202.5792500710004</v>
      </c>
      <c r="J27" s="7">
        <f>(103999.2*2204.622)/1000000</f>
        <v>229.27892430239996</v>
      </c>
      <c r="K27" s="7">
        <f t="shared" si="12"/>
        <v>2249.8708871734002</v>
      </c>
      <c r="L27" s="6">
        <v>2405.9630000000002</v>
      </c>
      <c r="N27" s="151"/>
    </row>
    <row r="28" spans="1:14" ht="13.8">
      <c r="A28" s="23" t="s">
        <v>41</v>
      </c>
      <c r="B28" s="6">
        <f t="shared" si="13"/>
        <v>2405.9630000000002</v>
      </c>
      <c r="C28" s="7">
        <v>2324.183</v>
      </c>
      <c r="D28" s="7">
        <f>(14353.5*2204.622)/1000000</f>
        <v>31.644041876999996</v>
      </c>
      <c r="E28" s="7">
        <f t="shared" si="9"/>
        <v>4761.7900418770005</v>
      </c>
      <c r="F28" s="68"/>
      <c r="G28" s="6">
        <f t="shared" si="10"/>
        <v>2130.8006323142004</v>
      </c>
      <c r="H28" s="7">
        <v>937.33500000000004</v>
      </c>
      <c r="I28" s="7">
        <f t="shared" si="11"/>
        <v>1193.4656323142003</v>
      </c>
      <c r="J28" s="7">
        <f>(74887.4*2204.622)/1000000</f>
        <v>165.09840956279999</v>
      </c>
      <c r="K28" s="7">
        <f t="shared" si="12"/>
        <v>2295.8990418770004</v>
      </c>
      <c r="L28" s="6">
        <v>2465.8910000000001</v>
      </c>
      <c r="N28" s="151"/>
    </row>
    <row r="29" spans="1:14" ht="13.8">
      <c r="A29" s="23" t="s">
        <v>42</v>
      </c>
      <c r="B29" s="6">
        <f t="shared" si="13"/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  <c r="N29" s="151"/>
    </row>
    <row r="30" spans="1:14" ht="13.8">
      <c r="A30" s="23" t="s">
        <v>43</v>
      </c>
      <c r="B30" s="6">
        <f t="shared" si="13"/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8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  <c r="N30" s="151"/>
    </row>
    <row r="31" spans="1:14" ht="13.8">
      <c r="A31" s="23" t="s">
        <v>45</v>
      </c>
      <c r="B31" s="6">
        <f t="shared" si="13"/>
        <v>2566.107</v>
      </c>
      <c r="C31" s="7">
        <v>2277.5410000000002</v>
      </c>
      <c r="D31" s="7">
        <f>(10063.7*2204.622)/1000000</f>
        <v>22.1866544214</v>
      </c>
      <c r="E31" s="7">
        <f>SUM(B31:D31)</f>
        <v>4865.8346544214</v>
      </c>
      <c r="F31" s="68"/>
      <c r="G31" s="6">
        <f t="shared" si="10"/>
        <v>2165.6971246716002</v>
      </c>
      <c r="H31" s="7">
        <v>908.29</v>
      </c>
      <c r="I31" s="7">
        <f t="shared" si="11"/>
        <v>1257.4071246716003</v>
      </c>
      <c r="J31" s="7">
        <f>(120845.9*2204.622)/1000000</f>
        <v>266.41952974979995</v>
      </c>
      <c r="K31" s="7">
        <f t="shared" si="12"/>
        <v>2432.1166544214002</v>
      </c>
      <c r="L31" s="6">
        <v>2433.7179999999998</v>
      </c>
      <c r="N31" s="151"/>
    </row>
    <row r="32" spans="1:14" ht="13.8">
      <c r="A32" s="23" t="s">
        <v>46</v>
      </c>
      <c r="B32" s="6">
        <f t="shared" si="13"/>
        <v>2433.7179999999998</v>
      </c>
      <c r="C32" s="7">
        <v>2143.1179999999999</v>
      </c>
      <c r="D32" s="7">
        <f>(10668.4*2204.622)/1000000</f>
        <v>23.519789344799999</v>
      </c>
      <c r="E32" s="7">
        <f>SUM(B32:D32)</f>
        <v>4600.3557893447996</v>
      </c>
      <c r="F32" s="68"/>
      <c r="G32" s="6">
        <f t="shared" si="10"/>
        <v>2008.0816443671997</v>
      </c>
      <c r="H32" s="7">
        <v>838.9</v>
      </c>
      <c r="I32" s="7">
        <f t="shared" si="11"/>
        <v>1169.1816443671996</v>
      </c>
      <c r="J32" s="7">
        <f>(76240.8*2204.622)/1000000</f>
        <v>168.0821449776</v>
      </c>
      <c r="K32" s="7">
        <f t="shared" si="12"/>
        <v>2176.1637893447996</v>
      </c>
      <c r="L32" s="6">
        <v>2424.192</v>
      </c>
      <c r="N32" s="151"/>
    </row>
    <row r="33" spans="1:14" ht="13.8">
      <c r="A33" s="23" t="s">
        <v>47</v>
      </c>
      <c r="B33" s="6">
        <f t="shared" si="13"/>
        <v>2424.192</v>
      </c>
      <c r="C33" s="7">
        <v>2158.7739999999999</v>
      </c>
      <c r="D33" s="155">
        <f>(11311.9*2204.622)/1000000</f>
        <v>24.938463601799999</v>
      </c>
      <c r="E33" s="7">
        <f>SUM(B33:D33)</f>
        <v>4607.9044636018007</v>
      </c>
      <c r="F33" s="68"/>
      <c r="G33" s="6">
        <f t="shared" si="10"/>
        <v>2149.6411321876008</v>
      </c>
      <c r="H33" s="7">
        <f>855.571</f>
        <v>855.57100000000003</v>
      </c>
      <c r="I33" s="7">
        <f t="shared" si="11"/>
        <v>1294.0701321876008</v>
      </c>
      <c r="J33" s="155">
        <f>(33516.1*2204.622)/1000000</f>
        <v>73.890331414199991</v>
      </c>
      <c r="K33" s="7">
        <f t="shared" si="12"/>
        <v>2223.5314636018006</v>
      </c>
      <c r="L33" s="6">
        <v>2384.373</v>
      </c>
      <c r="N33" s="151"/>
    </row>
    <row r="34" spans="1:14" ht="13.8">
      <c r="A34" s="17" t="s">
        <v>49</v>
      </c>
      <c r="B34" s="64">
        <f t="shared" si="13"/>
        <v>2384.373</v>
      </c>
      <c r="C34" s="48">
        <v>2068.578</v>
      </c>
      <c r="D34" s="152">
        <f>(10963.3*2204.622)/1000000</f>
        <v>24.169932372599998</v>
      </c>
      <c r="E34" s="48">
        <f>SUM(B34:D34)</f>
        <v>4477.1209323725998</v>
      </c>
      <c r="F34" s="16"/>
      <c r="G34" s="64">
        <f t="shared" si="10"/>
        <v>2088.4572126891999</v>
      </c>
      <c r="H34" s="48" t="s">
        <v>73</v>
      </c>
      <c r="I34" s="48" t="s">
        <v>73</v>
      </c>
      <c r="J34" s="152">
        <f>(33184.7*2204.622)/1000000</f>
        <v>73.159719683399985</v>
      </c>
      <c r="K34" s="48">
        <f t="shared" si="12"/>
        <v>2161.6169323725999</v>
      </c>
      <c r="L34" s="64">
        <v>2315.5039999999999</v>
      </c>
      <c r="N34"/>
    </row>
    <row r="35" spans="1:14" ht="16.2">
      <c r="A35" s="58" t="s">
        <v>74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4" ht="14.4">
      <c r="A36" s="19" t="s">
        <v>201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4" ht="13.8">
      <c r="A37" s="25" t="s">
        <v>55</v>
      </c>
      <c r="B37" s="50">
        <f ca="1">NOW()</f>
        <v>44789.312603472223</v>
      </c>
      <c r="K37" s="46"/>
    </row>
    <row r="38" spans="1:14">
      <c r="E38" s="46"/>
    </row>
  </sheetData>
  <mergeCells count="3">
    <mergeCell ref="B5:L5"/>
    <mergeCell ref="G2:I2"/>
    <mergeCell ref="B2:E2"/>
  </mergeCells>
  <phoneticPr fontId="12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tabSelected="1" zoomScale="70" zoomScaleNormal="70" workbookViewId="0">
      <selection activeCell="D36" sqref="D36"/>
    </sheetView>
  </sheetViews>
  <sheetFormatPr defaultColWidth="9.109375" defaultRowHeight="13.2"/>
  <cols>
    <col min="1" max="1" width="15.33203125" style="18" customWidth="1"/>
    <col min="2" max="2" width="13.109375" style="18" customWidth="1"/>
    <col min="3" max="3" width="12.109375" style="18" customWidth="1"/>
    <col min="4" max="4" width="13.44140625" style="18" customWidth="1"/>
    <col min="5" max="5" width="15.33203125" style="18" customWidth="1"/>
    <col min="6" max="6" width="11.44140625" style="18" customWidth="1"/>
    <col min="7" max="7" width="11.6640625" style="18" customWidth="1"/>
    <col min="8" max="8" width="8.6640625" style="18" customWidth="1"/>
    <col min="9" max="9" width="9.6640625" style="18" customWidth="1"/>
    <col min="10" max="11" width="7.6640625" style="18" customWidth="1"/>
    <col min="12" max="12" width="8.5546875" style="18" customWidth="1"/>
    <col min="13" max="13" width="9.5546875" style="18" customWidth="1"/>
    <col min="14" max="15" width="7.5546875" style="18" customWidth="1"/>
    <col min="16" max="18" width="9.109375" style="18"/>
    <col min="19" max="19" width="17.44140625" style="18" bestFit="1" customWidth="1"/>
    <col min="20" max="20" width="9.109375" style="18"/>
    <col min="21" max="21" width="28.33203125" style="18" bestFit="1" customWidth="1"/>
    <col min="22" max="16384" width="9.109375" style="18"/>
  </cols>
  <sheetData>
    <row r="1" spans="1:15" ht="13.8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8">
      <c r="A2" s="19"/>
      <c r="B2" s="187" t="s">
        <v>56</v>
      </c>
      <c r="C2" s="187"/>
      <c r="D2" s="187"/>
      <c r="E2" s="187"/>
      <c r="F2" s="96"/>
      <c r="G2" s="187" t="s">
        <v>57</v>
      </c>
      <c r="H2" s="187"/>
      <c r="I2" s="187"/>
      <c r="J2" s="187"/>
      <c r="K2" s="96"/>
      <c r="L2" s="19"/>
      <c r="M2" s="19"/>
      <c r="N2" s="19"/>
      <c r="O2" s="19"/>
    </row>
    <row r="3" spans="1:15" ht="13.8">
      <c r="A3" s="19" t="s">
        <v>17</v>
      </c>
      <c r="B3" s="25" t="s">
        <v>67</v>
      </c>
      <c r="C3" s="25"/>
      <c r="D3" s="25"/>
      <c r="E3" s="25"/>
      <c r="F3" s="97"/>
      <c r="G3" s="25"/>
      <c r="H3" s="25"/>
      <c r="I3" s="25"/>
      <c r="J3" s="25"/>
      <c r="K3" s="21" t="s">
        <v>58</v>
      </c>
      <c r="L3" s="19"/>
      <c r="M3" s="19"/>
      <c r="N3" s="19"/>
      <c r="O3" s="19"/>
    </row>
    <row r="4" spans="1:15" ht="13.8">
      <c r="A4" s="26" t="s">
        <v>75</v>
      </c>
      <c r="B4" s="28" t="s">
        <v>76</v>
      </c>
      <c r="C4" s="78" t="s">
        <v>26</v>
      </c>
      <c r="D4" s="30" t="s">
        <v>68</v>
      </c>
      <c r="E4" s="28" t="s">
        <v>77</v>
      </c>
      <c r="F4" s="29"/>
      <c r="G4" s="28" t="s">
        <v>78</v>
      </c>
      <c r="H4" s="28" t="s">
        <v>30</v>
      </c>
      <c r="I4" s="28" t="s">
        <v>79</v>
      </c>
      <c r="J4" s="28" t="s">
        <v>80</v>
      </c>
      <c r="K4" s="28" t="s">
        <v>60</v>
      </c>
      <c r="L4" s="19"/>
      <c r="M4" s="19"/>
      <c r="N4" s="19"/>
      <c r="O4" s="19"/>
    </row>
    <row r="5" spans="1:15" ht="14.4">
      <c r="A5" s="19"/>
      <c r="B5" s="190" t="s">
        <v>81</v>
      </c>
      <c r="C5" s="190"/>
      <c r="D5" s="190"/>
      <c r="E5" s="190"/>
      <c r="F5" s="190"/>
      <c r="G5" s="190"/>
      <c r="H5" s="190"/>
      <c r="I5" s="190"/>
      <c r="J5" s="190"/>
      <c r="K5" s="190"/>
      <c r="L5" s="19"/>
      <c r="M5" s="19"/>
      <c r="N5" s="19"/>
      <c r="O5" s="19"/>
    </row>
    <row r="6" spans="1:15" ht="13.8">
      <c r="A6" s="23" t="s">
        <v>34</v>
      </c>
      <c r="B6" s="99">
        <v>456.0068619717149</v>
      </c>
      <c r="C6" s="99">
        <v>4468</v>
      </c>
      <c r="D6" s="100">
        <v>1</v>
      </c>
      <c r="E6" s="99">
        <f>B6+C6+D6</f>
        <v>4925.0068619717149</v>
      </c>
      <c r="F6" s="101"/>
      <c r="G6" s="99">
        <v>1562.7429999999999</v>
      </c>
      <c r="H6" s="102">
        <v>279.55399999999997</v>
      </c>
      <c r="I6" s="99">
        <v>2687</v>
      </c>
      <c r="J6" s="99">
        <f>E6-K6</f>
        <v>4529.3643090269106</v>
      </c>
      <c r="K6" s="99">
        <v>395.64255294480427</v>
      </c>
      <c r="L6" s="19"/>
      <c r="M6" s="19"/>
      <c r="N6" s="19"/>
      <c r="O6" s="19"/>
    </row>
    <row r="7" spans="1:15" ht="16.2">
      <c r="A7" s="23" t="s">
        <v>35</v>
      </c>
      <c r="B7" s="99">
        <f>K6</f>
        <v>395.64255294480427</v>
      </c>
      <c r="C7" s="99">
        <v>5323</v>
      </c>
      <c r="D7" s="100">
        <v>25</v>
      </c>
      <c r="E7" s="99">
        <f>B7+C7+D7</f>
        <v>5743.6425529448043</v>
      </c>
      <c r="F7" s="101"/>
      <c r="G7" s="99">
        <v>1545</v>
      </c>
      <c r="H7" s="102">
        <v>285</v>
      </c>
      <c r="I7" s="99">
        <v>3518.7999999999997</v>
      </c>
      <c r="J7" s="99">
        <f>E7-K7</f>
        <v>5348.7999999999993</v>
      </c>
      <c r="K7" s="99">
        <v>394.84255294480499</v>
      </c>
      <c r="L7" s="19"/>
      <c r="M7" s="19"/>
      <c r="N7" s="19"/>
      <c r="O7" s="19"/>
    </row>
    <row r="8" spans="1:15" ht="16.2">
      <c r="A8" s="17" t="s">
        <v>36</v>
      </c>
      <c r="B8" s="103">
        <f>K7</f>
        <v>394.84255294480499</v>
      </c>
      <c r="C8" s="103">
        <v>3813</v>
      </c>
      <c r="D8" s="104">
        <v>1</v>
      </c>
      <c r="E8" s="103">
        <f>B8+C8+D8</f>
        <v>4208.842552944805</v>
      </c>
      <c r="F8" s="105"/>
      <c r="G8" s="103">
        <v>1480</v>
      </c>
      <c r="H8" s="106">
        <v>150</v>
      </c>
      <c r="I8" s="103">
        <v>2345</v>
      </c>
      <c r="J8" s="103">
        <f>E8-K8</f>
        <v>3974.842552944805</v>
      </c>
      <c r="K8" s="103">
        <v>234</v>
      </c>
      <c r="L8" s="19"/>
      <c r="M8" s="19"/>
      <c r="N8" s="19"/>
      <c r="O8" s="19"/>
    </row>
    <row r="9" spans="1:15" ht="16.2">
      <c r="A9" s="58" t="s">
        <v>82</v>
      </c>
      <c r="B9" s="19"/>
      <c r="C9" s="98"/>
      <c r="D9" s="98"/>
      <c r="E9" s="98"/>
      <c r="F9" s="98"/>
      <c r="G9" s="107"/>
      <c r="H9" s="98"/>
      <c r="I9" s="98"/>
      <c r="J9" s="98"/>
      <c r="K9" s="19"/>
      <c r="L9" s="19"/>
      <c r="M9" s="19"/>
      <c r="N9" s="19"/>
      <c r="O9" s="19"/>
    </row>
    <row r="10" spans="1:15" ht="14.4">
      <c r="A10" s="19" t="s">
        <v>203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">
      <c r="A11" s="19" t="s">
        <v>83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8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8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8">
      <c r="A15" s="19"/>
      <c r="B15" s="187" t="s">
        <v>56</v>
      </c>
      <c r="C15" s="187"/>
      <c r="D15" s="187"/>
      <c r="E15" s="187"/>
      <c r="F15" s="19"/>
      <c r="G15" s="187" t="s">
        <v>57</v>
      </c>
      <c r="H15" s="187"/>
      <c r="I15" s="187"/>
      <c r="J15" s="19"/>
      <c r="K15" s="19"/>
      <c r="L15" s="19"/>
      <c r="M15" s="19"/>
      <c r="N15" s="19"/>
      <c r="O15" s="19"/>
    </row>
    <row r="16" spans="1:15" ht="13.8">
      <c r="A16" s="19" t="s">
        <v>17</v>
      </c>
      <c r="B16" s="21" t="s">
        <v>67</v>
      </c>
      <c r="C16" s="25"/>
      <c r="D16" s="25"/>
      <c r="E16" s="25"/>
      <c r="F16" s="25"/>
      <c r="G16" s="25"/>
      <c r="H16" s="25"/>
      <c r="I16" s="25"/>
      <c r="J16" s="21" t="s">
        <v>58</v>
      </c>
      <c r="K16" s="19"/>
      <c r="L16" s="19"/>
      <c r="M16" s="19"/>
      <c r="N16" s="19"/>
      <c r="O16" s="19"/>
    </row>
    <row r="17" spans="1:15" ht="13.8">
      <c r="A17" s="26" t="s">
        <v>59</v>
      </c>
      <c r="B17" s="28" t="s">
        <v>60</v>
      </c>
      <c r="C17" s="78" t="s">
        <v>26</v>
      </c>
      <c r="D17" s="30" t="s">
        <v>68</v>
      </c>
      <c r="E17" s="28" t="s">
        <v>80</v>
      </c>
      <c r="F17" s="29"/>
      <c r="G17" s="99" t="s">
        <v>84</v>
      </c>
      <c r="H17" s="28" t="s">
        <v>30</v>
      </c>
      <c r="I17" s="30" t="s">
        <v>61</v>
      </c>
      <c r="J17" s="28" t="s">
        <v>60</v>
      </c>
      <c r="K17" s="19"/>
      <c r="L17" s="19"/>
      <c r="M17" s="19"/>
      <c r="N17" s="19"/>
      <c r="O17" s="19"/>
    </row>
    <row r="18" spans="1:15" ht="14.4">
      <c r="A18" s="19"/>
      <c r="B18" s="190" t="s">
        <v>85</v>
      </c>
      <c r="C18" s="190"/>
      <c r="D18" s="190"/>
      <c r="E18" s="190"/>
      <c r="F18" s="190"/>
      <c r="G18" s="190"/>
      <c r="H18" s="190"/>
      <c r="I18" s="190"/>
      <c r="J18" s="190"/>
      <c r="K18" s="19"/>
      <c r="L18" s="19"/>
      <c r="M18" s="19"/>
      <c r="N18" s="19"/>
      <c r="O18" s="19"/>
    </row>
    <row r="19" spans="1:15" ht="13.8">
      <c r="A19" s="23" t="s">
        <v>34</v>
      </c>
      <c r="B19" s="99">
        <v>24.872</v>
      </c>
      <c r="C19" s="102">
        <v>648.57100000000003</v>
      </c>
      <c r="D19" s="100">
        <v>0</v>
      </c>
      <c r="E19" s="102">
        <f>B19+C19+D19</f>
        <v>673.44299999999998</v>
      </c>
      <c r="F19" s="101"/>
      <c r="G19" s="102">
        <v>573.37699999999995</v>
      </c>
      <c r="H19" s="102">
        <v>60.759509638330982</v>
      </c>
      <c r="I19" s="102">
        <f>SUM(G19:H19)</f>
        <v>634.13650963833095</v>
      </c>
      <c r="J19" s="99">
        <v>39.305999999999997</v>
      </c>
      <c r="K19" s="19"/>
      <c r="L19" s="19"/>
      <c r="M19" s="19"/>
      <c r="N19" s="19"/>
      <c r="O19" s="19"/>
    </row>
    <row r="20" spans="1:15" ht="16.2">
      <c r="A20" s="23" t="s">
        <v>35</v>
      </c>
      <c r="B20" s="99">
        <f>J19</f>
        <v>39.305999999999997</v>
      </c>
      <c r="C20" s="102">
        <v>685</v>
      </c>
      <c r="D20" s="100">
        <v>0</v>
      </c>
      <c r="E20" s="102">
        <f>B20+C20+D20</f>
        <v>724.30600000000004</v>
      </c>
      <c r="F20" s="101"/>
      <c r="G20" s="102">
        <f>E20-J20-H20</f>
        <v>644.30600000000004</v>
      </c>
      <c r="H20" s="102">
        <v>55</v>
      </c>
      <c r="I20" s="102">
        <f>SUM(G20:H20)</f>
        <v>699.30600000000004</v>
      </c>
      <c r="J20" s="99">
        <v>25</v>
      </c>
      <c r="K20" s="19"/>
      <c r="L20" s="19"/>
      <c r="M20" s="19"/>
      <c r="N20" s="19"/>
      <c r="O20" s="19"/>
    </row>
    <row r="21" spans="1:15" ht="16.2">
      <c r="A21" s="17" t="s">
        <v>36</v>
      </c>
      <c r="B21" s="103">
        <f>J20</f>
        <v>25</v>
      </c>
      <c r="C21" s="106">
        <v>660</v>
      </c>
      <c r="D21" s="104">
        <v>0</v>
      </c>
      <c r="E21" s="106">
        <f>B21+C21+D21</f>
        <v>685</v>
      </c>
      <c r="F21" s="105"/>
      <c r="G21" s="106">
        <f>E21-J21-H21</f>
        <v>585</v>
      </c>
      <c r="H21" s="106">
        <v>60</v>
      </c>
      <c r="I21" s="106">
        <f>SUM(G21:H21)</f>
        <v>645</v>
      </c>
      <c r="J21" s="103">
        <v>40</v>
      </c>
      <c r="K21" s="19"/>
      <c r="L21" s="19"/>
      <c r="M21" s="19"/>
      <c r="N21" s="19"/>
      <c r="O21" s="19"/>
    </row>
    <row r="22" spans="1:15" ht="16.2">
      <c r="A22" s="58" t="s">
        <v>82</v>
      </c>
      <c r="B22" s="19"/>
      <c r="C22" s="98"/>
      <c r="D22" s="98"/>
      <c r="E22" s="98"/>
      <c r="F22" s="98"/>
      <c r="G22" s="98"/>
      <c r="H22" s="98"/>
      <c r="I22" s="19"/>
      <c r="J22" s="19"/>
      <c r="K22" s="19"/>
      <c r="L22" s="19"/>
      <c r="M22" s="19"/>
      <c r="N22" s="19"/>
      <c r="O22" s="19"/>
    </row>
    <row r="23" spans="1:15" ht="14.4">
      <c r="A23" s="19" t="s">
        <v>204</v>
      </c>
      <c r="B23" s="101"/>
      <c r="C23" s="101"/>
      <c r="D23" s="101"/>
      <c r="E23" s="101"/>
      <c r="F23" s="101"/>
      <c r="G23" s="101"/>
      <c r="H23" s="101"/>
      <c r="I23" s="19"/>
      <c r="J23" s="19"/>
      <c r="K23" s="19"/>
      <c r="L23" s="19"/>
      <c r="M23" s="19"/>
      <c r="N23" s="19"/>
      <c r="O23" s="19"/>
    </row>
    <row r="24" spans="1:15" ht="13.8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8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8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8">
      <c r="A27" s="19"/>
      <c r="B27" s="187" t="s">
        <v>56</v>
      </c>
      <c r="C27" s="187"/>
      <c r="D27" s="187"/>
      <c r="E27" s="187"/>
      <c r="F27" s="19"/>
      <c r="G27" s="187" t="s">
        <v>57</v>
      </c>
      <c r="H27" s="187"/>
      <c r="I27" s="187"/>
      <c r="J27" s="19"/>
      <c r="K27" s="19"/>
      <c r="L27" s="19"/>
      <c r="M27" s="19"/>
      <c r="N27" s="19"/>
      <c r="O27" s="19"/>
    </row>
    <row r="28" spans="1:15" ht="13.8">
      <c r="A28" s="19" t="s">
        <v>17</v>
      </c>
      <c r="B28" s="21" t="s">
        <v>67</v>
      </c>
      <c r="C28" s="25"/>
      <c r="D28" s="25"/>
      <c r="E28" s="25"/>
      <c r="F28" s="25"/>
      <c r="G28" s="25"/>
      <c r="H28" s="25"/>
      <c r="I28" s="25"/>
      <c r="J28" s="21" t="s">
        <v>58</v>
      </c>
      <c r="K28" s="19"/>
      <c r="L28" s="19"/>
      <c r="M28" s="19"/>
      <c r="N28" s="19"/>
      <c r="O28" s="19"/>
    </row>
    <row r="29" spans="1:15" ht="13.8">
      <c r="A29" s="26" t="s">
        <v>59</v>
      </c>
      <c r="B29" s="28" t="s">
        <v>60</v>
      </c>
      <c r="C29" s="28" t="s">
        <v>26</v>
      </c>
      <c r="D29" s="30" t="s">
        <v>68</v>
      </c>
      <c r="E29" s="28" t="s">
        <v>80</v>
      </c>
      <c r="F29" s="29"/>
      <c r="G29" s="28" t="s">
        <v>62</v>
      </c>
      <c r="H29" s="28" t="s">
        <v>30</v>
      </c>
      <c r="I29" s="28" t="s">
        <v>61</v>
      </c>
      <c r="J29" s="28" t="s">
        <v>64</v>
      </c>
      <c r="K29" s="19"/>
      <c r="L29" s="19"/>
      <c r="M29" s="19"/>
      <c r="N29" s="19"/>
      <c r="O29" s="19"/>
    </row>
    <row r="30" spans="1:15" ht="14.4">
      <c r="A30" s="19"/>
      <c r="B30" s="190" t="s">
        <v>86</v>
      </c>
      <c r="C30" s="190"/>
      <c r="D30" s="190"/>
      <c r="E30" s="190"/>
      <c r="F30" s="190"/>
      <c r="G30" s="190"/>
      <c r="H30" s="190"/>
      <c r="I30" s="190"/>
      <c r="J30" s="190"/>
      <c r="K30" s="19"/>
      <c r="L30" s="19"/>
      <c r="M30" s="19"/>
      <c r="N30" s="19"/>
      <c r="O30" s="19"/>
    </row>
    <row r="31" spans="1:15" ht="13.8">
      <c r="A31" s="23" t="s">
        <v>34</v>
      </c>
      <c r="B31" s="100">
        <v>44.537999999999997</v>
      </c>
      <c r="C31" s="102">
        <v>399.91800000000001</v>
      </c>
      <c r="D31" s="100">
        <v>21.365218272682</v>
      </c>
      <c r="E31" s="108">
        <f>B31+C31+D31</f>
        <v>465.82121827268202</v>
      </c>
      <c r="F31" s="101"/>
      <c r="G31" s="102">
        <f>I31-H31</f>
        <v>354.93667903513006</v>
      </c>
      <c r="H31" s="102">
        <v>62.676539237551999</v>
      </c>
      <c r="I31" s="102">
        <f>E31-J31</f>
        <v>417.61321827268205</v>
      </c>
      <c r="J31" s="102">
        <v>48.207999999999998</v>
      </c>
      <c r="K31" s="19"/>
      <c r="L31" s="19"/>
      <c r="M31" s="19"/>
      <c r="N31" s="19"/>
      <c r="O31" s="19"/>
    </row>
    <row r="32" spans="1:15" ht="16.2">
      <c r="A32" s="23" t="s">
        <v>35</v>
      </c>
      <c r="B32" s="100">
        <f>J31</f>
        <v>48.207999999999998</v>
      </c>
      <c r="C32" s="102">
        <v>425</v>
      </c>
      <c r="D32" s="100">
        <v>13</v>
      </c>
      <c r="E32" s="108">
        <f>B32+C32+D32</f>
        <v>486.20799999999997</v>
      </c>
      <c r="F32" s="101"/>
      <c r="G32" s="102">
        <f>I32-H32</f>
        <v>326.20799999999997</v>
      </c>
      <c r="H32" s="102">
        <v>115</v>
      </c>
      <c r="I32" s="102">
        <f>E32-J32</f>
        <v>441.20799999999997</v>
      </c>
      <c r="J32" s="102">
        <v>45</v>
      </c>
      <c r="K32" s="19"/>
      <c r="L32" s="19"/>
      <c r="M32" s="19"/>
      <c r="N32" s="19"/>
      <c r="O32" s="19"/>
    </row>
    <row r="33" spans="1:17" ht="16.2">
      <c r="A33" s="17" t="s">
        <v>36</v>
      </c>
      <c r="B33" s="104">
        <f>J32</f>
        <v>45</v>
      </c>
      <c r="C33" s="106">
        <v>400</v>
      </c>
      <c r="D33" s="104">
        <v>13</v>
      </c>
      <c r="E33" s="109">
        <f>B33+C33+D33</f>
        <v>458</v>
      </c>
      <c r="F33" s="105"/>
      <c r="G33" s="106">
        <f>I33-H33</f>
        <v>348</v>
      </c>
      <c r="H33" s="106">
        <v>65</v>
      </c>
      <c r="I33" s="106">
        <f>E33-J33</f>
        <v>413</v>
      </c>
      <c r="J33" s="106">
        <v>45</v>
      </c>
      <c r="K33" s="19"/>
      <c r="L33" s="19"/>
      <c r="M33" s="19"/>
      <c r="N33" s="19"/>
      <c r="O33" s="19"/>
    </row>
    <row r="34" spans="1:17" ht="16.2">
      <c r="A34" s="58" t="s">
        <v>82</v>
      </c>
      <c r="B34" s="19"/>
      <c r="C34" s="98"/>
      <c r="D34" s="98"/>
      <c r="E34" s="98"/>
      <c r="F34" s="98"/>
      <c r="G34" s="98"/>
      <c r="H34" s="98"/>
      <c r="I34" s="19"/>
      <c r="J34" s="19"/>
      <c r="K34" s="19"/>
      <c r="L34" s="19"/>
      <c r="M34" s="19"/>
      <c r="N34" s="19"/>
      <c r="O34" s="19"/>
    </row>
    <row r="35" spans="1:17" ht="14.4">
      <c r="A35" s="19" t="s">
        <v>204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7" ht="13.8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7" ht="13.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7" ht="13.8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7" ht="13.8">
      <c r="A39" s="19"/>
      <c r="B39" s="187" t="s">
        <v>13</v>
      </c>
      <c r="C39" s="187"/>
      <c r="D39" s="21" t="s">
        <v>14</v>
      </c>
      <c r="E39" s="187" t="s">
        <v>15</v>
      </c>
      <c r="F39" s="187"/>
      <c r="G39" s="187"/>
      <c r="H39" s="187"/>
      <c r="I39" s="19"/>
      <c r="J39" s="187" t="s">
        <v>57</v>
      </c>
      <c r="K39" s="187"/>
      <c r="L39" s="187"/>
      <c r="M39" s="187"/>
      <c r="N39" s="187"/>
      <c r="O39" s="96"/>
    </row>
    <row r="40" spans="1:17" ht="13.8">
      <c r="A40" s="19" t="s">
        <v>17</v>
      </c>
      <c r="B40" s="21" t="s">
        <v>18</v>
      </c>
      <c r="C40" s="21" t="s">
        <v>19</v>
      </c>
      <c r="D40" s="19"/>
      <c r="E40" s="21" t="s">
        <v>67</v>
      </c>
      <c r="F40" s="21"/>
      <c r="G40" s="21"/>
      <c r="H40" s="21"/>
      <c r="I40" s="19"/>
      <c r="J40" s="110" t="s">
        <v>84</v>
      </c>
      <c r="K40" s="21"/>
      <c r="L40" s="21" t="s">
        <v>22</v>
      </c>
      <c r="M40" s="21"/>
      <c r="N40" s="21"/>
      <c r="O40" s="21" t="s">
        <v>58</v>
      </c>
    </row>
    <row r="41" spans="1:17" ht="13.8">
      <c r="A41" s="26" t="s">
        <v>75</v>
      </c>
      <c r="B41" s="27"/>
      <c r="C41" s="27"/>
      <c r="D41" s="27"/>
      <c r="E41" s="28" t="s">
        <v>60</v>
      </c>
      <c r="F41" s="28" t="s">
        <v>26</v>
      </c>
      <c r="G41" s="28" t="s">
        <v>68</v>
      </c>
      <c r="H41" s="28" t="s">
        <v>80</v>
      </c>
      <c r="I41" s="28"/>
      <c r="J41" s="28" t="s">
        <v>87</v>
      </c>
      <c r="K41" s="28" t="s">
        <v>78</v>
      </c>
      <c r="L41" s="28" t="s">
        <v>29</v>
      </c>
      <c r="M41" s="30" t="s">
        <v>30</v>
      </c>
      <c r="N41" s="28" t="s">
        <v>61</v>
      </c>
      <c r="O41" s="28" t="s">
        <v>64</v>
      </c>
    </row>
    <row r="42" spans="1:17" ht="14.4">
      <c r="A42" s="19"/>
      <c r="B42" s="191" t="s">
        <v>88</v>
      </c>
      <c r="C42" s="192"/>
      <c r="D42" s="111" t="s">
        <v>89</v>
      </c>
      <c r="E42" s="193" t="s">
        <v>90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2"/>
    </row>
    <row r="43" spans="1:17" ht="13.8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7" ht="13.8">
      <c r="A44" s="23" t="s">
        <v>34</v>
      </c>
      <c r="B44" s="99">
        <v>1662.5</v>
      </c>
      <c r="C44" s="99">
        <v>1615.2</v>
      </c>
      <c r="D44" s="99">
        <f>F44*1000/C44</f>
        <v>3812.7476473501733</v>
      </c>
      <c r="E44" s="99">
        <v>2118.1880000000001</v>
      </c>
      <c r="F44" s="99">
        <v>6158.35</v>
      </c>
      <c r="G44" s="102">
        <v>121.04780464882167</v>
      </c>
      <c r="H44" s="99">
        <f>SUM(E44:G44)</f>
        <v>8397.5858046488229</v>
      </c>
      <c r="I44" s="99"/>
      <c r="J44" s="99">
        <v>3357.2</v>
      </c>
      <c r="K44" s="99">
        <v>872.91017669999985</v>
      </c>
      <c r="L44" s="102">
        <v>782.5619895425192</v>
      </c>
      <c r="M44" s="102">
        <v>1429.3264914515985</v>
      </c>
      <c r="N44" s="99">
        <f>H44-O44</f>
        <v>6429.4238046488226</v>
      </c>
      <c r="O44" s="99">
        <v>1968.162</v>
      </c>
    </row>
    <row r="45" spans="1:17" ht="16.2">
      <c r="A45" s="23" t="s">
        <v>35</v>
      </c>
      <c r="B45" s="99">
        <v>1585.2</v>
      </c>
      <c r="C45" s="99">
        <v>1545</v>
      </c>
      <c r="D45" s="99">
        <f>F45*1000/C45</f>
        <v>4135.46925566343</v>
      </c>
      <c r="E45" s="99">
        <f>O44</f>
        <v>1968.162</v>
      </c>
      <c r="F45" s="99">
        <v>6389.3</v>
      </c>
      <c r="G45" s="102">
        <v>112</v>
      </c>
      <c r="H45" s="99">
        <f>SUM(E45:G45)</f>
        <v>8469.4619999999995</v>
      </c>
      <c r="I45" s="99"/>
      <c r="J45" s="99">
        <v>3363.3910000000001</v>
      </c>
      <c r="K45" s="99">
        <v>855</v>
      </c>
      <c r="L45" s="102">
        <v>656.80500000000006</v>
      </c>
      <c r="M45" s="102">
        <v>1200</v>
      </c>
      <c r="N45" s="99">
        <f>H45-O45</f>
        <v>6075.1955429479995</v>
      </c>
      <c r="O45" s="99">
        <v>2394.2664570520001</v>
      </c>
    </row>
    <row r="46" spans="1:17" ht="16.2">
      <c r="A46" s="17" t="s">
        <v>36</v>
      </c>
      <c r="B46" s="103">
        <v>1543</v>
      </c>
      <c r="C46" s="103">
        <v>1502</v>
      </c>
      <c r="D46" s="103">
        <f>F46*1000/C46</f>
        <v>4128.8948069241014</v>
      </c>
      <c r="E46" s="103">
        <f>O45</f>
        <v>2394.2664570520001</v>
      </c>
      <c r="F46" s="103">
        <v>6201.6</v>
      </c>
      <c r="G46" s="106">
        <v>110</v>
      </c>
      <c r="H46" s="103">
        <f>SUM(E46:G46)</f>
        <v>8705.8664570520014</v>
      </c>
      <c r="I46" s="103"/>
      <c r="J46" s="103">
        <v>3449.4870000000001</v>
      </c>
      <c r="K46" s="103">
        <v>868</v>
      </c>
      <c r="L46" s="106">
        <v>791.54000000000008</v>
      </c>
      <c r="M46" s="106">
        <v>1250</v>
      </c>
      <c r="N46" s="103">
        <f>H46-O46</f>
        <v>6359.2510040216994</v>
      </c>
      <c r="O46" s="103">
        <v>2346.615453030302</v>
      </c>
      <c r="Q46" s="186"/>
    </row>
    <row r="47" spans="1:17" ht="16.2">
      <c r="A47" s="58" t="s">
        <v>82</v>
      </c>
      <c r="B47" s="19"/>
      <c r="C47" s="98"/>
      <c r="D47" s="98"/>
      <c r="E47" s="98"/>
      <c r="F47" s="98"/>
      <c r="G47" s="98"/>
      <c r="H47" s="98"/>
      <c r="I47" s="19"/>
      <c r="J47" s="19"/>
      <c r="K47" s="19"/>
      <c r="L47" s="19"/>
      <c r="M47" s="19"/>
      <c r="N47" s="19"/>
      <c r="O47" s="19"/>
    </row>
    <row r="48" spans="1:17" ht="14.4">
      <c r="A48" s="19" t="s">
        <v>202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">
      <c r="A49" s="19" t="s">
        <v>83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8">
      <c r="A50" s="25" t="s">
        <v>55</v>
      </c>
      <c r="B50" s="112">
        <f ca="1">NOW()</f>
        <v>44789.312603472223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" customHeigh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2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7"/>
  <sheetViews>
    <sheetView showGridLines="0" topLeftCell="A25" zoomScale="70" zoomScaleNormal="70" workbookViewId="0">
      <selection activeCell="A47" sqref="A47"/>
    </sheetView>
  </sheetViews>
  <sheetFormatPr defaultColWidth="9.109375" defaultRowHeight="13.2"/>
  <cols>
    <col min="1" max="1" width="11.6640625" style="18" customWidth="1"/>
    <col min="2" max="2" width="18.88671875" style="18" bestFit="1" customWidth="1"/>
    <col min="3" max="3" width="22.109375" style="18" bestFit="1" customWidth="1"/>
    <col min="4" max="5" width="25.6640625" style="18" bestFit="1" customWidth="1"/>
    <col min="6" max="6" width="16.6640625" style="18" bestFit="1" customWidth="1"/>
    <col min="7" max="7" width="18.88671875" style="18" bestFit="1" customWidth="1"/>
    <col min="8" max="16384" width="9.10937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91</v>
      </c>
      <c r="B2" s="40" t="s">
        <v>92</v>
      </c>
      <c r="C2" s="40" t="s">
        <v>93</v>
      </c>
      <c r="D2" s="40" t="s">
        <v>94</v>
      </c>
      <c r="E2" s="40" t="s">
        <v>95</v>
      </c>
      <c r="F2" s="40" t="s">
        <v>96</v>
      </c>
      <c r="G2" s="40" t="s">
        <v>97</v>
      </c>
      <c r="H2" s="59"/>
    </row>
    <row r="3" spans="1:8" ht="15.6" customHeight="1">
      <c r="A3" s="17" t="s">
        <v>98</v>
      </c>
      <c r="B3" s="29"/>
      <c r="C3" s="65"/>
      <c r="D3" s="65"/>
      <c r="E3" s="65"/>
      <c r="F3" s="65"/>
      <c r="G3" s="65"/>
      <c r="H3" s="59"/>
    </row>
    <row r="4" spans="1:8" ht="14.4">
      <c r="A4" s="66"/>
      <c r="B4" s="67" t="s">
        <v>99</v>
      </c>
      <c r="C4" s="67" t="s">
        <v>100</v>
      </c>
      <c r="D4" s="67" t="s">
        <v>101</v>
      </c>
      <c r="E4" s="67" t="s">
        <v>101</v>
      </c>
      <c r="F4" s="67" t="s">
        <v>102</v>
      </c>
      <c r="G4" s="67" t="s">
        <v>99</v>
      </c>
      <c r="H4" s="59"/>
    </row>
    <row r="5" spans="1:8" ht="13.8">
      <c r="A5" s="19"/>
      <c r="B5" s="19"/>
      <c r="C5" s="19"/>
      <c r="D5" s="21"/>
      <c r="E5" s="19"/>
      <c r="F5" s="19"/>
      <c r="G5" s="19"/>
      <c r="H5" s="59"/>
    </row>
    <row r="6" spans="1:8" ht="13.8">
      <c r="A6" s="19" t="s">
        <v>103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8">
      <c r="A7" s="19" t="s">
        <v>104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8">
      <c r="A8" s="19" t="s">
        <v>105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8">
      <c r="A9" s="19" t="s">
        <v>106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8">
      <c r="A10" s="19" t="s">
        <v>107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8">
      <c r="A11" s="19" t="s">
        <v>108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8">
      <c r="A12" s="19" t="s">
        <v>109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8">
      <c r="A13" s="19" t="s">
        <v>110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8">
      <c r="A14" s="19" t="s">
        <v>111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8">
      <c r="A15" s="19" t="s">
        <v>112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3.8">
      <c r="A16" s="19" t="s">
        <v>34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</v>
      </c>
      <c r="H16" s="59"/>
    </row>
    <row r="17" spans="1:8" ht="16.2">
      <c r="A17" s="19" t="s">
        <v>113</v>
      </c>
      <c r="B17" s="68">
        <v>13.3</v>
      </c>
      <c r="C17" s="68">
        <v>242</v>
      </c>
      <c r="D17" s="68">
        <v>32.9</v>
      </c>
      <c r="E17" s="68">
        <v>32.9</v>
      </c>
      <c r="F17" s="68">
        <v>24.3</v>
      </c>
      <c r="G17" s="68">
        <v>25.9</v>
      </c>
      <c r="H17" s="59"/>
    </row>
    <row r="18" spans="1:8" ht="16.2">
      <c r="A18" s="19" t="s">
        <v>114</v>
      </c>
      <c r="B18" s="68">
        <v>14.35</v>
      </c>
      <c r="C18" s="68">
        <v>253</v>
      </c>
      <c r="D18" s="68">
        <v>33.5</v>
      </c>
      <c r="E18" s="68">
        <v>31.9</v>
      </c>
      <c r="F18" s="68">
        <v>24.5</v>
      </c>
      <c r="G18" s="68">
        <v>22.674399999999999</v>
      </c>
      <c r="H18" s="59"/>
    </row>
    <row r="19" spans="1:8" ht="13.8">
      <c r="A19" s="23"/>
      <c r="B19" s="69"/>
      <c r="C19" s="70"/>
      <c r="D19" s="71"/>
      <c r="E19" s="71"/>
      <c r="F19" s="72"/>
      <c r="G19" s="73"/>
      <c r="H19" s="60"/>
    </row>
    <row r="20" spans="1:8" ht="13.8">
      <c r="A20" s="74" t="s">
        <v>34</v>
      </c>
      <c r="B20" s="68"/>
      <c r="C20" s="68"/>
      <c r="D20" s="68"/>
      <c r="E20" s="68"/>
      <c r="F20" s="68"/>
      <c r="G20" s="68"/>
    </row>
    <row r="21" spans="1:8" ht="13.8">
      <c r="A21" s="23" t="s">
        <v>37</v>
      </c>
      <c r="B21" s="68">
        <v>9.24</v>
      </c>
      <c r="C21" s="68">
        <v>164</v>
      </c>
      <c r="D21" s="68">
        <v>23.7</v>
      </c>
      <c r="E21" s="68">
        <v>16.399999999999999</v>
      </c>
      <c r="F21" s="68">
        <v>20.5</v>
      </c>
      <c r="G21" s="68">
        <v>9.64</v>
      </c>
    </row>
    <row r="22" spans="1:8" ht="13.8">
      <c r="A22" s="23" t="s">
        <v>38</v>
      </c>
      <c r="B22" s="68">
        <v>9.6300000000000008</v>
      </c>
      <c r="C22" s="68">
        <v>189</v>
      </c>
      <c r="D22" s="68">
        <v>19.100000000000001</v>
      </c>
      <c r="E22" s="68">
        <v>16.2</v>
      </c>
      <c r="F22" s="68">
        <v>20.9</v>
      </c>
      <c r="G22" s="68">
        <v>9.76</v>
      </c>
    </row>
    <row r="23" spans="1:8" ht="13.8">
      <c r="A23" s="23" t="s">
        <v>39</v>
      </c>
      <c r="B23" s="68">
        <v>10.3</v>
      </c>
      <c r="C23" s="68">
        <v>199</v>
      </c>
      <c r="D23" s="68">
        <v>18.899999999999999</v>
      </c>
      <c r="E23" s="68">
        <v>18.100000000000001</v>
      </c>
      <c r="F23" s="68">
        <v>21.2</v>
      </c>
      <c r="G23" s="68">
        <v>10.7</v>
      </c>
    </row>
    <row r="24" spans="1:8" ht="13.8">
      <c r="A24" s="23" t="s">
        <v>41</v>
      </c>
      <c r="B24" s="68">
        <v>10.6</v>
      </c>
      <c r="C24" s="68">
        <v>195</v>
      </c>
      <c r="D24" s="68">
        <v>19.2</v>
      </c>
      <c r="E24" s="68">
        <v>17.2</v>
      </c>
      <c r="F24" s="68">
        <v>20.399999999999999</v>
      </c>
      <c r="G24" s="68">
        <v>10.9</v>
      </c>
    </row>
    <row r="25" spans="1:8" ht="13.8">
      <c r="A25" s="23" t="s">
        <v>42</v>
      </c>
      <c r="B25" s="68">
        <v>10.9</v>
      </c>
      <c r="C25" s="68">
        <v>209</v>
      </c>
      <c r="D25" s="68">
        <v>19.5</v>
      </c>
      <c r="E25" s="68">
        <v>18.8</v>
      </c>
      <c r="F25" s="68">
        <v>20.5</v>
      </c>
      <c r="G25" s="68">
        <v>12</v>
      </c>
    </row>
    <row r="26" spans="1:8" ht="13.8">
      <c r="A26" s="23" t="s">
        <v>43</v>
      </c>
      <c r="B26" s="68">
        <v>12.7</v>
      </c>
      <c r="C26" s="68">
        <v>185</v>
      </c>
      <c r="D26" s="68">
        <v>21.4</v>
      </c>
      <c r="E26" s="68">
        <v>20.399999999999999</v>
      </c>
      <c r="F26" s="68">
        <v>20.5</v>
      </c>
      <c r="G26" s="68">
        <v>13.2</v>
      </c>
    </row>
    <row r="27" spans="1:8" ht="13.8">
      <c r="A27" s="23" t="s">
        <v>45</v>
      </c>
      <c r="B27" s="68">
        <v>13.2</v>
      </c>
      <c r="C27" s="68" t="s">
        <v>73</v>
      </c>
      <c r="D27" s="68">
        <v>21.5</v>
      </c>
      <c r="E27" s="68">
        <v>22</v>
      </c>
      <c r="F27" s="68">
        <v>21.2</v>
      </c>
      <c r="G27" s="68">
        <v>15.7</v>
      </c>
    </row>
    <row r="28" spans="1:8" ht="13.8">
      <c r="A28" s="23" t="s">
        <v>46</v>
      </c>
      <c r="B28" s="68">
        <v>13.9</v>
      </c>
      <c r="C28" s="68" t="s">
        <v>73</v>
      </c>
      <c r="D28" s="68">
        <v>23.7</v>
      </c>
      <c r="E28" s="68">
        <v>23.8</v>
      </c>
      <c r="F28" s="68">
        <v>21.4</v>
      </c>
      <c r="G28" s="68">
        <v>18.100000000000001</v>
      </c>
    </row>
    <row r="29" spans="1:8" ht="13.8">
      <c r="A29" s="23" t="s">
        <v>47</v>
      </c>
      <c r="B29" s="68">
        <v>14.8</v>
      </c>
      <c r="C29" s="68" t="s">
        <v>73</v>
      </c>
      <c r="D29" s="68">
        <v>26.4</v>
      </c>
      <c r="E29" s="68">
        <v>26.1</v>
      </c>
      <c r="F29" s="68">
        <v>21.3</v>
      </c>
      <c r="G29" s="68">
        <v>18.3</v>
      </c>
    </row>
    <row r="30" spans="1:8" ht="13.8">
      <c r="A30" s="23" t="s">
        <v>49</v>
      </c>
      <c r="B30" s="68">
        <v>14.5</v>
      </c>
      <c r="C30" s="68" t="s">
        <v>73</v>
      </c>
      <c r="D30" s="68">
        <v>28.4</v>
      </c>
      <c r="E30" s="68">
        <v>26</v>
      </c>
      <c r="F30" s="68">
        <v>21.3</v>
      </c>
      <c r="G30" s="68">
        <v>19.899999999999999</v>
      </c>
    </row>
    <row r="31" spans="1:8" ht="13.8">
      <c r="A31" s="23" t="s">
        <v>50</v>
      </c>
      <c r="B31" s="68">
        <v>14.1</v>
      </c>
      <c r="C31" s="68" t="s">
        <v>73</v>
      </c>
      <c r="D31" s="68">
        <v>28</v>
      </c>
      <c r="E31" s="68">
        <v>27.7</v>
      </c>
      <c r="F31" s="68">
        <v>21.6</v>
      </c>
      <c r="G31" s="68">
        <v>20.100000000000001</v>
      </c>
    </row>
    <row r="32" spans="1:8" ht="13.8">
      <c r="A32" s="23" t="s">
        <v>51</v>
      </c>
      <c r="B32" s="68">
        <v>13.7</v>
      </c>
      <c r="C32" s="68">
        <v>255</v>
      </c>
      <c r="D32" s="68">
        <v>29.4</v>
      </c>
      <c r="E32" s="68">
        <v>30.9</v>
      </c>
      <c r="F32" s="68">
        <v>21.3</v>
      </c>
      <c r="G32" s="68">
        <v>20.2</v>
      </c>
    </row>
    <row r="33" spans="1:7" ht="13.8">
      <c r="A33" s="23"/>
      <c r="B33" s="128"/>
      <c r="C33" s="128"/>
      <c r="D33" s="128"/>
      <c r="E33" s="128"/>
      <c r="F33" s="128"/>
      <c r="G33" s="128"/>
    </row>
    <row r="34" spans="1:7" ht="13.8">
      <c r="A34" s="74" t="s">
        <v>53</v>
      </c>
      <c r="B34" s="68"/>
      <c r="C34" s="68"/>
      <c r="D34" s="68"/>
      <c r="E34" s="68"/>
      <c r="F34" s="68"/>
      <c r="G34" s="68"/>
    </row>
    <row r="35" spans="1:7" ht="13.8">
      <c r="A35" s="23" t="s">
        <v>37</v>
      </c>
      <c r="B35" s="68">
        <v>12.2</v>
      </c>
      <c r="C35" s="68">
        <v>235</v>
      </c>
      <c r="D35" s="68">
        <v>30.7</v>
      </c>
      <c r="E35" s="68">
        <v>28.7</v>
      </c>
      <c r="F35" s="68">
        <v>22.3</v>
      </c>
      <c r="G35" s="68">
        <v>19.8</v>
      </c>
    </row>
    <row r="36" spans="1:7" ht="13.8">
      <c r="A36" s="23" t="s">
        <v>38</v>
      </c>
      <c r="B36" s="68">
        <v>11.9</v>
      </c>
      <c r="C36" s="68">
        <v>244</v>
      </c>
      <c r="D36" s="68">
        <v>30.5</v>
      </c>
      <c r="E36" s="68">
        <v>29.5</v>
      </c>
      <c r="F36" s="68">
        <v>24</v>
      </c>
      <c r="G36" s="68">
        <v>25.1</v>
      </c>
    </row>
    <row r="37" spans="1:7" ht="13.8">
      <c r="A37" s="23" t="s">
        <v>39</v>
      </c>
      <c r="B37" s="68">
        <v>12.2</v>
      </c>
      <c r="C37" s="68">
        <v>244</v>
      </c>
      <c r="D37" s="68">
        <v>30.2</v>
      </c>
      <c r="E37" s="68">
        <v>31.7</v>
      </c>
      <c r="F37" s="68">
        <v>25.4</v>
      </c>
      <c r="G37" s="68">
        <v>26.1</v>
      </c>
    </row>
    <row r="38" spans="1:7" ht="13.8">
      <c r="A38" s="23" t="s">
        <v>41</v>
      </c>
      <c r="B38" s="68">
        <v>12.5</v>
      </c>
      <c r="C38" s="68">
        <v>239</v>
      </c>
      <c r="D38" s="68">
        <v>31.7</v>
      </c>
      <c r="E38" s="68">
        <v>32.5</v>
      </c>
      <c r="F38" s="68">
        <v>24</v>
      </c>
      <c r="G38" s="68">
        <v>31.4</v>
      </c>
    </row>
    <row r="39" spans="1:7" ht="13.8">
      <c r="A39" s="23" t="s">
        <v>42</v>
      </c>
      <c r="B39" s="68">
        <v>12.9</v>
      </c>
      <c r="C39" s="68">
        <v>241</v>
      </c>
      <c r="D39" s="68">
        <v>31</v>
      </c>
      <c r="E39" s="68">
        <v>33.700000000000003</v>
      </c>
      <c r="F39" s="68">
        <v>26.1</v>
      </c>
      <c r="G39" s="68">
        <v>31</v>
      </c>
    </row>
    <row r="40" spans="1:7" ht="13.8">
      <c r="A40" s="23" t="s">
        <v>43</v>
      </c>
      <c r="B40" s="68">
        <v>14.8</v>
      </c>
      <c r="C40" s="68">
        <v>255</v>
      </c>
      <c r="D40" s="68">
        <v>32.1</v>
      </c>
      <c r="E40" s="68">
        <v>37</v>
      </c>
      <c r="F40" s="68">
        <v>24.5</v>
      </c>
      <c r="G40" s="68">
        <v>31.1</v>
      </c>
    </row>
    <row r="41" spans="1:7" ht="13.8">
      <c r="A41" s="23" t="s">
        <v>45</v>
      </c>
      <c r="B41" s="68">
        <v>15.4</v>
      </c>
      <c r="C41" s="68" t="s">
        <v>73</v>
      </c>
      <c r="D41" s="68">
        <v>33.9</v>
      </c>
      <c r="E41" s="68">
        <v>39.1</v>
      </c>
      <c r="F41" s="68">
        <v>25</v>
      </c>
      <c r="G41" s="68">
        <v>29.1</v>
      </c>
    </row>
    <row r="42" spans="1:7" ht="13.8">
      <c r="A42" s="23" t="s">
        <v>46</v>
      </c>
      <c r="B42" s="68">
        <v>15.8</v>
      </c>
      <c r="C42" s="68" t="s">
        <v>73</v>
      </c>
      <c r="D42" s="68">
        <v>37.1</v>
      </c>
      <c r="E42" s="68">
        <v>41.3</v>
      </c>
      <c r="F42" s="68">
        <v>24.7</v>
      </c>
      <c r="G42" s="68">
        <v>30.3</v>
      </c>
    </row>
    <row r="43" spans="1:7" ht="13.8">
      <c r="A43" s="23" t="s">
        <v>47</v>
      </c>
      <c r="B43" s="68">
        <v>16.100000000000001</v>
      </c>
      <c r="C43" s="68" t="s">
        <v>73</v>
      </c>
      <c r="D43" s="68">
        <v>40.200000000000003</v>
      </c>
      <c r="E43" s="68">
        <v>42.9</v>
      </c>
      <c r="F43" s="68">
        <v>25.3</v>
      </c>
      <c r="G43" s="68">
        <v>29.7</v>
      </c>
    </row>
    <row r="44" spans="1:7" ht="13.8">
      <c r="A44" s="17" t="s">
        <v>49</v>
      </c>
      <c r="B44" s="16">
        <v>16.399999999999999</v>
      </c>
      <c r="C44" s="16" t="s">
        <v>73</v>
      </c>
      <c r="D44" s="16">
        <v>40.200000000000003</v>
      </c>
      <c r="E44" s="16">
        <v>45.6</v>
      </c>
      <c r="F44" s="16">
        <v>24.9</v>
      </c>
      <c r="G44" s="16">
        <v>23.9</v>
      </c>
    </row>
    <row r="45" spans="1:7" ht="16.2">
      <c r="A45" s="19" t="s">
        <v>115</v>
      </c>
      <c r="B45" s="19"/>
      <c r="C45" s="19"/>
      <c r="D45" s="19"/>
      <c r="E45" s="19"/>
      <c r="F45" s="19"/>
      <c r="G45" s="19"/>
    </row>
    <row r="46" spans="1:7" ht="14.4">
      <c r="A46" s="19" t="s">
        <v>205</v>
      </c>
      <c r="B46" s="19"/>
      <c r="C46" s="19"/>
      <c r="D46" s="19"/>
      <c r="E46" s="19"/>
      <c r="F46" s="19"/>
      <c r="G46" s="19"/>
    </row>
    <row r="47" spans="1:7" ht="13.8">
      <c r="A47" s="25" t="s">
        <v>55</v>
      </c>
      <c r="B47" s="50">
        <f ca="1">NOW()</f>
        <v>44789.312603472223</v>
      </c>
      <c r="C47" s="19"/>
      <c r="D47" s="19"/>
      <c r="E47" s="19"/>
      <c r="F47" s="19"/>
      <c r="G47" s="19"/>
    </row>
  </sheetData>
  <phoneticPr fontId="12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68"/>
  <sheetViews>
    <sheetView showGridLines="0" topLeftCell="A28" zoomScale="70" zoomScaleNormal="70" workbookViewId="0">
      <selection activeCell="A48" sqref="A48"/>
    </sheetView>
  </sheetViews>
  <sheetFormatPr defaultColWidth="9.109375" defaultRowHeight="13.2"/>
  <cols>
    <col min="1" max="2" width="11.6640625" style="18" customWidth="1"/>
    <col min="3" max="3" width="11.5546875" style="18" customWidth="1"/>
    <col min="4" max="4" width="13.6640625" style="18" customWidth="1"/>
    <col min="5" max="5" width="11.6640625" style="18" customWidth="1"/>
    <col min="6" max="6" width="11.5546875" style="18" bestFit="1" customWidth="1"/>
    <col min="7" max="7" width="10.6640625" style="18" customWidth="1"/>
    <col min="8" max="8" width="12" style="18" customWidth="1"/>
    <col min="9" max="9" width="13.44140625" style="18" customWidth="1"/>
    <col min="10" max="16384" width="9.109375" style="18"/>
  </cols>
  <sheetData>
    <row r="1" spans="1:9" ht="13.8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91</v>
      </c>
      <c r="B2" s="40" t="s">
        <v>116</v>
      </c>
      <c r="C2" s="40" t="s">
        <v>117</v>
      </c>
      <c r="D2" s="40" t="s">
        <v>118</v>
      </c>
      <c r="E2" s="76" t="s">
        <v>119</v>
      </c>
      <c r="F2" s="76" t="s">
        <v>120</v>
      </c>
      <c r="G2" s="40" t="s">
        <v>121</v>
      </c>
      <c r="H2" s="40" t="s">
        <v>122</v>
      </c>
      <c r="I2" s="77" t="s">
        <v>123</v>
      </c>
    </row>
    <row r="3" spans="1:9" ht="15.6" customHeight="1">
      <c r="A3" s="78" t="s">
        <v>98</v>
      </c>
      <c r="B3" s="28" t="s">
        <v>124</v>
      </c>
      <c r="C3" s="28" t="s">
        <v>125</v>
      </c>
      <c r="D3" s="28" t="s">
        <v>126</v>
      </c>
      <c r="E3" s="28" t="s">
        <v>126</v>
      </c>
      <c r="F3" s="28" t="s">
        <v>127</v>
      </c>
      <c r="G3" s="28" t="s">
        <v>128</v>
      </c>
      <c r="H3" s="28"/>
      <c r="I3" s="28" t="s">
        <v>129</v>
      </c>
    </row>
    <row r="4" spans="1:9" ht="14.4">
      <c r="A4" s="79" t="s">
        <v>130</v>
      </c>
      <c r="C4" s="80"/>
      <c r="D4" s="80"/>
      <c r="E4" s="80"/>
      <c r="F4" s="80"/>
      <c r="G4" s="80"/>
      <c r="H4" s="80"/>
      <c r="I4" s="80"/>
    </row>
    <row r="5" spans="1:9" ht="13.8">
      <c r="A5" s="19"/>
      <c r="B5" s="19"/>
      <c r="C5" s="19"/>
      <c r="D5" s="19"/>
      <c r="E5" s="19"/>
      <c r="F5" s="19"/>
      <c r="G5" s="19"/>
      <c r="H5" s="19"/>
      <c r="I5" s="19"/>
    </row>
    <row r="6" spans="1:9" ht="13.8">
      <c r="A6" s="19" t="s">
        <v>103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8">
      <c r="A7" s="19" t="s">
        <v>104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8">
      <c r="A8" s="19" t="s">
        <v>105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8">
      <c r="A9" s="19" t="s">
        <v>106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8">
      <c r="A10" s="19" t="s">
        <v>107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8">
      <c r="A11" s="19" t="s">
        <v>108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8">
      <c r="A12" s="19" t="s">
        <v>109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8">
      <c r="A13" s="19" t="s">
        <v>110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8">
      <c r="A14" s="19" t="s">
        <v>111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8">
      <c r="A15" s="19" t="s">
        <v>112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3.8">
      <c r="A16" s="19" t="s">
        <v>34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101.4</v>
      </c>
      <c r="G16" s="68">
        <v>53.88</v>
      </c>
      <c r="H16" s="68">
        <v>55.89</v>
      </c>
      <c r="I16" s="68">
        <v>54.98</v>
      </c>
    </row>
    <row r="17" spans="1:14" ht="16.2">
      <c r="A17" s="19" t="s">
        <v>131</v>
      </c>
      <c r="B17" s="68">
        <v>72</v>
      </c>
      <c r="C17" s="68">
        <v>105</v>
      </c>
      <c r="D17" s="68">
        <v>115</v>
      </c>
      <c r="E17" s="68">
        <v>91</v>
      </c>
      <c r="F17" s="68">
        <v>106</v>
      </c>
      <c r="G17" s="68">
        <v>64</v>
      </c>
      <c r="H17" s="68">
        <v>80</v>
      </c>
      <c r="I17" s="68">
        <v>80</v>
      </c>
      <c r="J17" s="125"/>
    </row>
    <row r="18" spans="1:14" ht="16.2">
      <c r="A18" s="19" t="s">
        <v>132</v>
      </c>
      <c r="B18" s="68">
        <v>69</v>
      </c>
      <c r="C18" s="68">
        <v>85</v>
      </c>
      <c r="D18" s="68">
        <v>99</v>
      </c>
      <c r="E18" s="68">
        <v>79</v>
      </c>
      <c r="F18" s="68">
        <v>104</v>
      </c>
      <c r="G18" s="68">
        <v>57</v>
      </c>
      <c r="H18" s="68">
        <v>75</v>
      </c>
      <c r="I18" s="68">
        <v>75</v>
      </c>
      <c r="J18" s="125"/>
    </row>
    <row r="19" spans="1:14" ht="13.8">
      <c r="A19" s="19"/>
      <c r="B19" s="81"/>
      <c r="C19" s="81"/>
      <c r="D19" s="81"/>
      <c r="E19" s="81"/>
      <c r="F19" s="81"/>
      <c r="G19" s="81"/>
      <c r="H19" s="81"/>
      <c r="I19" s="81"/>
    </row>
    <row r="20" spans="1:14" ht="13.8">
      <c r="A20" s="41" t="s">
        <v>34</v>
      </c>
      <c r="B20" s="68"/>
      <c r="C20" s="68"/>
      <c r="D20" s="68"/>
      <c r="E20" s="68"/>
      <c r="F20" s="68"/>
      <c r="G20" s="68"/>
      <c r="H20" s="68"/>
      <c r="I20" s="68"/>
    </row>
    <row r="21" spans="1:14" ht="13.8">
      <c r="A21" s="23" t="s">
        <v>38</v>
      </c>
      <c r="B21" s="68">
        <v>33.909999999999997</v>
      </c>
      <c r="C21" s="68">
        <v>48.35</v>
      </c>
      <c r="D21" s="68" t="s">
        <v>73</v>
      </c>
      <c r="E21" s="68">
        <v>44.35</v>
      </c>
      <c r="F21" s="68">
        <v>93</v>
      </c>
      <c r="G21" s="68">
        <v>43.15</v>
      </c>
      <c r="H21" s="68" t="s">
        <v>73</v>
      </c>
      <c r="I21" s="68">
        <v>34.5</v>
      </c>
      <c r="K21" s="130"/>
      <c r="L21" s="132"/>
      <c r="M21" s="133"/>
      <c r="N21" s="130"/>
    </row>
    <row r="22" spans="1:14" ht="13.8">
      <c r="A22" s="23" t="s">
        <v>39</v>
      </c>
      <c r="B22" s="68">
        <v>37.79</v>
      </c>
      <c r="C22" s="68">
        <v>54.4375</v>
      </c>
      <c r="D22" s="68" t="s">
        <v>73</v>
      </c>
      <c r="E22" s="68">
        <v>49.5</v>
      </c>
      <c r="F22" s="68">
        <v>98.75</v>
      </c>
      <c r="G22" s="68">
        <v>42.53</v>
      </c>
      <c r="H22" s="68">
        <v>41</v>
      </c>
      <c r="I22" s="68">
        <v>34</v>
      </c>
      <c r="K22" s="130"/>
      <c r="L22" s="132"/>
      <c r="M22" s="130"/>
      <c r="N22" s="130"/>
    </row>
    <row r="23" spans="1:14" ht="13.8">
      <c r="A23" s="23" t="s">
        <v>41</v>
      </c>
      <c r="B23" s="68">
        <v>40.85</v>
      </c>
      <c r="C23" s="68">
        <v>59.2</v>
      </c>
      <c r="D23" s="68" t="s">
        <v>73</v>
      </c>
      <c r="E23" s="68">
        <v>51.65</v>
      </c>
      <c r="F23" s="68">
        <v>100</v>
      </c>
      <c r="G23" s="68">
        <v>41.48</v>
      </c>
      <c r="H23" s="68">
        <v>41</v>
      </c>
      <c r="I23" s="68">
        <v>36.25</v>
      </c>
      <c r="K23" s="130"/>
      <c r="L23" s="132"/>
      <c r="M23" s="130"/>
      <c r="N23" s="130"/>
    </row>
    <row r="24" spans="1:14" ht="13.8">
      <c r="A24" s="23" t="s">
        <v>42</v>
      </c>
      <c r="B24" s="68">
        <v>44.31</v>
      </c>
      <c r="C24" s="68">
        <v>63.1875</v>
      </c>
      <c r="D24" s="68" t="s">
        <v>73</v>
      </c>
      <c r="E24" s="68">
        <v>53.3125</v>
      </c>
      <c r="F24" s="68">
        <v>90</v>
      </c>
      <c r="G24" s="68">
        <v>43.337499999999999</v>
      </c>
      <c r="H24" s="68" t="s">
        <v>73</v>
      </c>
      <c r="I24" s="68">
        <v>48.129999999999995</v>
      </c>
      <c r="K24" s="130"/>
      <c r="L24" s="130"/>
      <c r="M24" s="134"/>
      <c r="N24" s="131"/>
    </row>
    <row r="25" spans="1:14" ht="13.8">
      <c r="A25" s="23" t="s">
        <v>43</v>
      </c>
      <c r="B25" s="68">
        <v>48.37</v>
      </c>
      <c r="C25" s="68">
        <v>73.625</v>
      </c>
      <c r="D25" s="68" t="s">
        <v>73</v>
      </c>
      <c r="E25" s="68">
        <v>58.9375</v>
      </c>
      <c r="F25" s="68">
        <v>93</v>
      </c>
      <c r="G25" s="68">
        <v>44.945</v>
      </c>
      <c r="H25" s="68" t="s">
        <v>73</v>
      </c>
      <c r="I25" s="68">
        <v>53.125</v>
      </c>
      <c r="K25" s="130"/>
      <c r="L25" s="130"/>
      <c r="M25" s="134"/>
      <c r="N25" s="131"/>
    </row>
    <row r="26" spans="1:14" ht="13.8">
      <c r="A26" s="23" t="s">
        <v>45</v>
      </c>
      <c r="B26" s="68">
        <v>56</v>
      </c>
      <c r="C26" s="68">
        <v>86.9375</v>
      </c>
      <c r="D26" s="68" t="s">
        <v>73</v>
      </c>
      <c r="E26" s="68">
        <v>71.3125</v>
      </c>
      <c r="F26" s="68">
        <v>105.25</v>
      </c>
      <c r="G26" s="68">
        <v>52.05</v>
      </c>
      <c r="H26" s="68">
        <v>55</v>
      </c>
      <c r="I26" s="68">
        <v>55.943333333333328</v>
      </c>
      <c r="K26" s="130"/>
      <c r="L26" s="130"/>
      <c r="M26" s="134"/>
      <c r="N26" s="131"/>
    </row>
    <row r="27" spans="1:14" ht="13.8">
      <c r="A27" s="23" t="s">
        <v>46</v>
      </c>
      <c r="B27" s="68">
        <v>62.88</v>
      </c>
      <c r="C27" s="68">
        <v>92.65</v>
      </c>
      <c r="D27" s="68">
        <v>83</v>
      </c>
      <c r="E27" s="68">
        <v>79.55</v>
      </c>
      <c r="F27" s="68">
        <v>109.2</v>
      </c>
      <c r="G27" s="68">
        <v>59.8125</v>
      </c>
      <c r="H27" s="68" t="s">
        <v>73</v>
      </c>
      <c r="I27" s="68">
        <v>59.3825</v>
      </c>
      <c r="K27" s="130"/>
      <c r="L27" s="130"/>
      <c r="M27" s="131"/>
      <c r="N27" s="131"/>
    </row>
    <row r="28" spans="1:14" ht="13.8">
      <c r="A28" s="23" t="s">
        <v>47</v>
      </c>
      <c r="B28" s="68">
        <v>74.75</v>
      </c>
      <c r="C28" s="68">
        <v>102.1875</v>
      </c>
      <c r="D28" s="68">
        <v>83</v>
      </c>
      <c r="E28" s="68">
        <v>94.0625</v>
      </c>
      <c r="F28" s="68">
        <v>110</v>
      </c>
      <c r="G28" s="68">
        <v>68.25</v>
      </c>
      <c r="H28" s="68">
        <v>58</v>
      </c>
      <c r="I28" s="68">
        <v>64.724999999999994</v>
      </c>
      <c r="J28" s="85"/>
      <c r="K28" s="130"/>
      <c r="L28" s="130"/>
      <c r="M28" s="131"/>
      <c r="N28" s="131"/>
    </row>
    <row r="29" spans="1:14" ht="13.8">
      <c r="A29" s="23" t="s">
        <v>49</v>
      </c>
      <c r="B29" s="68">
        <v>74.75</v>
      </c>
      <c r="C29" s="68">
        <v>100.6875</v>
      </c>
      <c r="D29" s="68" t="s">
        <v>73</v>
      </c>
      <c r="E29" s="68">
        <v>93.5</v>
      </c>
      <c r="F29" s="68">
        <v>108.1875</v>
      </c>
      <c r="G29" s="68">
        <v>67.599999999999994</v>
      </c>
      <c r="H29" s="68">
        <v>68</v>
      </c>
      <c r="I29" s="68">
        <v>63.666666666666664</v>
      </c>
      <c r="K29" s="130"/>
      <c r="L29" s="130"/>
      <c r="M29" s="131"/>
      <c r="N29" s="131"/>
    </row>
    <row r="30" spans="1:14" ht="13.8">
      <c r="A30" s="23" t="s">
        <v>50</v>
      </c>
      <c r="B30" s="68">
        <v>72.930000000000007</v>
      </c>
      <c r="C30" s="68">
        <v>99.9</v>
      </c>
      <c r="D30" s="68" t="s">
        <v>73</v>
      </c>
      <c r="E30" s="68">
        <v>92.3</v>
      </c>
      <c r="F30" s="68">
        <v>106</v>
      </c>
      <c r="G30" s="68">
        <v>66.094999999999999</v>
      </c>
      <c r="H30" s="68" t="s">
        <v>73</v>
      </c>
      <c r="I30" s="68">
        <v>66.333333333333329</v>
      </c>
      <c r="K30" s="130"/>
      <c r="L30" s="130"/>
      <c r="M30" s="134"/>
      <c r="N30" s="131"/>
    </row>
    <row r="31" spans="1:14" ht="13.8">
      <c r="A31" s="23" t="s">
        <v>51</v>
      </c>
      <c r="B31" s="68">
        <v>70.010000000000005</v>
      </c>
      <c r="C31" s="68">
        <v>96.5</v>
      </c>
      <c r="D31" s="68" t="s">
        <v>73</v>
      </c>
      <c r="E31" s="68">
        <v>81</v>
      </c>
      <c r="F31" s="68">
        <v>108.75</v>
      </c>
      <c r="G31" s="68">
        <v>64.156000000000006</v>
      </c>
      <c r="H31" s="68">
        <v>72.333333333333329</v>
      </c>
      <c r="I31" s="68">
        <v>72</v>
      </c>
      <c r="K31" s="130"/>
      <c r="L31" s="130"/>
      <c r="M31" s="134"/>
      <c r="N31" s="131"/>
    </row>
    <row r="32" spans="1:14" ht="13.8">
      <c r="A32" s="23" t="s">
        <v>37</v>
      </c>
      <c r="B32" s="68">
        <v>65.930000000000007</v>
      </c>
      <c r="C32" s="68">
        <v>93.625</v>
      </c>
      <c r="D32" s="68" t="s">
        <v>73</v>
      </c>
      <c r="E32" s="68">
        <v>76</v>
      </c>
      <c r="F32" s="68">
        <v>105</v>
      </c>
      <c r="G32" s="68">
        <v>53.184999999999995</v>
      </c>
      <c r="H32" s="68" t="s">
        <v>73</v>
      </c>
      <c r="I32" s="68">
        <v>71.75</v>
      </c>
      <c r="K32" s="130"/>
      <c r="L32" s="130"/>
      <c r="M32" s="134"/>
      <c r="N32" s="131"/>
    </row>
    <row r="33" spans="1:12" ht="13.8">
      <c r="A33" s="23"/>
      <c r="B33" s="68"/>
      <c r="C33" s="68"/>
      <c r="D33" s="68"/>
      <c r="E33" s="68"/>
      <c r="F33" s="68"/>
      <c r="G33" s="68"/>
      <c r="H33" s="68"/>
      <c r="I33" s="68"/>
    </row>
    <row r="34" spans="1:12" ht="13.8">
      <c r="A34" s="55" t="s">
        <v>53</v>
      </c>
      <c r="B34" s="68"/>
      <c r="C34" s="68"/>
      <c r="D34" s="68"/>
      <c r="E34" s="68"/>
      <c r="F34" s="68"/>
      <c r="G34" s="68"/>
      <c r="H34" s="68"/>
      <c r="I34" s="68"/>
      <c r="L34" s="125"/>
    </row>
    <row r="35" spans="1:12" ht="13.8">
      <c r="A35" s="23" t="s">
        <v>38</v>
      </c>
      <c r="B35" s="68">
        <v>70.42</v>
      </c>
      <c r="C35" s="68">
        <v>98.5</v>
      </c>
      <c r="D35" s="68">
        <v>129</v>
      </c>
      <c r="E35" s="68">
        <v>82.3</v>
      </c>
      <c r="F35" s="68">
        <v>101.5</v>
      </c>
      <c r="G35" s="68">
        <v>57.069999999999993</v>
      </c>
      <c r="H35" s="68" t="s">
        <v>73</v>
      </c>
      <c r="I35" s="68" t="s">
        <v>73</v>
      </c>
      <c r="K35" s="136"/>
      <c r="L35" s="135"/>
    </row>
    <row r="36" spans="1:12" ht="13.8">
      <c r="A36" s="23" t="s">
        <v>39</v>
      </c>
      <c r="B36" s="68">
        <v>66.459999999999994</v>
      </c>
      <c r="C36" s="68">
        <v>96.75</v>
      </c>
      <c r="D36" s="68">
        <v>125</v>
      </c>
      <c r="E36" s="68">
        <v>84.375</v>
      </c>
      <c r="F36" s="68">
        <v>100</v>
      </c>
      <c r="G36" s="68">
        <v>57.918000000000006</v>
      </c>
      <c r="H36" s="68" t="s">
        <v>73</v>
      </c>
      <c r="I36" s="68">
        <v>80.06</v>
      </c>
      <c r="K36" s="136"/>
      <c r="L36" s="136"/>
    </row>
    <row r="37" spans="1:12" ht="13.8">
      <c r="A37" s="23" t="s">
        <v>41</v>
      </c>
      <c r="B37" s="68">
        <v>63.69</v>
      </c>
      <c r="C37" s="68">
        <v>93.3</v>
      </c>
      <c r="D37" s="68">
        <v>125</v>
      </c>
      <c r="E37" s="68">
        <v>82.95</v>
      </c>
      <c r="F37" s="68">
        <v>100</v>
      </c>
      <c r="G37" s="68">
        <v>56.093333333333334</v>
      </c>
      <c r="H37" s="68" t="s">
        <v>73</v>
      </c>
      <c r="I37" s="68">
        <v>73</v>
      </c>
      <c r="K37" s="136"/>
      <c r="L37" s="136"/>
    </row>
    <row r="38" spans="1:12" ht="13.8">
      <c r="A38" s="23" t="s">
        <v>42</v>
      </c>
      <c r="B38" s="68">
        <v>65.7</v>
      </c>
      <c r="C38" s="68">
        <v>97.9375</v>
      </c>
      <c r="D38" s="68">
        <v>123.125</v>
      </c>
      <c r="E38" s="68">
        <v>88.5625</v>
      </c>
      <c r="F38" s="68">
        <v>103.125</v>
      </c>
      <c r="G38" s="68">
        <v>54.09</v>
      </c>
      <c r="H38" s="68" t="s">
        <v>73</v>
      </c>
      <c r="I38" s="68">
        <v>76.5</v>
      </c>
      <c r="K38" s="138"/>
    </row>
    <row r="39" spans="1:12" ht="13.8">
      <c r="A39" s="23" t="s">
        <v>43</v>
      </c>
      <c r="B39" s="68">
        <v>70.91</v>
      </c>
      <c r="C39" s="68">
        <v>101.375</v>
      </c>
      <c r="D39" s="68">
        <v>115.33333333333333</v>
      </c>
      <c r="E39" s="68">
        <v>85.875</v>
      </c>
      <c r="F39" s="68">
        <v>105</v>
      </c>
      <c r="G39" s="68">
        <v>59.29</v>
      </c>
      <c r="H39" s="68">
        <v>82</v>
      </c>
      <c r="I39" s="68">
        <v>80</v>
      </c>
    </row>
    <row r="40" spans="1:12" ht="13.8">
      <c r="A40" s="23" t="s">
        <v>45</v>
      </c>
      <c r="B40" s="68">
        <v>76.405000000000001</v>
      </c>
      <c r="C40" s="68">
        <v>114.875</v>
      </c>
      <c r="D40" s="68">
        <v>129</v>
      </c>
      <c r="E40" s="68">
        <v>92</v>
      </c>
      <c r="F40" s="68">
        <v>107.5</v>
      </c>
      <c r="G40" s="68">
        <v>67.1875</v>
      </c>
      <c r="H40" s="68" t="s">
        <v>73</v>
      </c>
      <c r="I40" s="68">
        <v>81.5</v>
      </c>
    </row>
    <row r="41" spans="1:12" ht="13.8">
      <c r="A41" s="23" t="s">
        <v>46</v>
      </c>
      <c r="B41" s="68">
        <v>83.846000000000004</v>
      </c>
      <c r="C41" s="68">
        <v>120.05</v>
      </c>
      <c r="D41" s="68">
        <v>120.4</v>
      </c>
      <c r="E41" s="68">
        <v>103.15</v>
      </c>
      <c r="F41" s="68">
        <v>115</v>
      </c>
      <c r="G41" s="68">
        <v>71.55</v>
      </c>
      <c r="H41" s="68" t="s">
        <v>73</v>
      </c>
      <c r="I41" s="68">
        <v>83.125</v>
      </c>
    </row>
    <row r="42" spans="1:12" ht="13.8">
      <c r="A42" s="23" t="s">
        <v>47</v>
      </c>
      <c r="B42" s="68">
        <v>87.385000000000005</v>
      </c>
      <c r="C42" s="68">
        <v>119.5625</v>
      </c>
      <c r="D42" s="68">
        <v>113.5</v>
      </c>
      <c r="E42" s="68">
        <v>108.6875</v>
      </c>
      <c r="F42" s="68">
        <v>116.25</v>
      </c>
      <c r="G42" s="68">
        <v>77.802499999999995</v>
      </c>
      <c r="H42" s="68" t="s">
        <v>73</v>
      </c>
      <c r="I42" s="68">
        <v>84.25</v>
      </c>
    </row>
    <row r="43" spans="1:12" ht="13.8">
      <c r="A43" s="23" t="s">
        <v>49</v>
      </c>
      <c r="B43" s="68">
        <v>80.297499999999999</v>
      </c>
      <c r="C43" s="68">
        <v>115.75</v>
      </c>
      <c r="D43" s="68">
        <v>97.75</v>
      </c>
      <c r="E43" s="68">
        <v>102.25</v>
      </c>
      <c r="F43" s="68">
        <v>116.25</v>
      </c>
      <c r="G43" s="68">
        <v>76.375</v>
      </c>
      <c r="H43" s="68" t="s">
        <v>73</v>
      </c>
      <c r="I43" s="68">
        <v>85.9</v>
      </c>
    </row>
    <row r="44" spans="1:12" ht="13.8">
      <c r="A44" s="17" t="s">
        <v>50</v>
      </c>
      <c r="B44" s="16">
        <v>67.74799999999999</v>
      </c>
      <c r="C44" s="16">
        <v>100.8</v>
      </c>
      <c r="D44" s="16">
        <v>78.2</v>
      </c>
      <c r="E44" s="16">
        <v>87.9</v>
      </c>
      <c r="F44" s="16">
        <v>103.2</v>
      </c>
      <c r="G44" s="16">
        <v>62.25</v>
      </c>
      <c r="H44" s="16" t="s">
        <v>73</v>
      </c>
      <c r="I44" s="16">
        <v>81.5</v>
      </c>
    </row>
    <row r="45" spans="1:12" ht="16.2">
      <c r="A45" s="58" t="s">
        <v>133</v>
      </c>
      <c r="B45" s="83"/>
      <c r="C45" s="83"/>
      <c r="D45" s="83"/>
      <c r="E45" s="83"/>
      <c r="F45" s="83"/>
      <c r="G45" s="83"/>
      <c r="H45" s="83"/>
      <c r="I45" s="83"/>
    </row>
    <row r="46" spans="1:12" ht="16.2">
      <c r="A46" s="19" t="s">
        <v>134</v>
      </c>
      <c r="B46" s="83"/>
      <c r="C46" s="83"/>
      <c r="D46" s="83"/>
      <c r="E46" s="83"/>
      <c r="F46" s="83"/>
      <c r="G46" s="83"/>
      <c r="H46" s="83"/>
      <c r="I46" s="83"/>
    </row>
    <row r="47" spans="1:12" ht="14.4">
      <c r="A47" s="19" t="s">
        <v>206</v>
      </c>
      <c r="B47" s="19"/>
      <c r="C47" s="19"/>
      <c r="D47" s="19"/>
      <c r="E47" s="19"/>
      <c r="F47" s="83"/>
      <c r="G47" s="19"/>
      <c r="H47" s="19"/>
      <c r="I47" s="19"/>
    </row>
    <row r="48" spans="1:12" ht="13.8">
      <c r="A48" s="25" t="s">
        <v>55</v>
      </c>
      <c r="B48" s="50">
        <f ca="1">NOW()</f>
        <v>44789.312603472223</v>
      </c>
      <c r="C48" s="19"/>
      <c r="D48" s="19"/>
      <c r="E48" s="19"/>
      <c r="F48" s="19"/>
      <c r="G48" s="19"/>
      <c r="H48" s="19"/>
      <c r="I48" s="19"/>
    </row>
    <row r="49" spans="2:9" ht="15.6">
      <c r="C49" s="84"/>
      <c r="G49" s="84"/>
      <c r="H49" s="84"/>
      <c r="I49" s="84"/>
    </row>
    <row r="50" spans="2:9" ht="15.6">
      <c r="B50" s="85"/>
      <c r="C50" s="85"/>
      <c r="D50" s="85"/>
      <c r="E50" s="85"/>
      <c r="F50" s="85"/>
      <c r="G50" s="85"/>
      <c r="H50" s="84"/>
      <c r="I50" s="84"/>
    </row>
    <row r="51" spans="2:9" ht="15.6">
      <c r="B51" s="137"/>
      <c r="C51" s="137"/>
      <c r="D51" s="137"/>
      <c r="E51" s="137"/>
      <c r="F51" s="137"/>
      <c r="G51" s="137"/>
      <c r="H51" s="84"/>
      <c r="I51" s="84"/>
    </row>
    <row r="52" spans="2:9" ht="15.6">
      <c r="C52" s="84"/>
      <c r="G52" s="84"/>
      <c r="H52" s="84"/>
      <c r="I52" s="84"/>
    </row>
    <row r="53" spans="2:9" ht="15.6">
      <c r="C53" s="84"/>
      <c r="G53" s="84"/>
      <c r="H53" s="84"/>
      <c r="I53" s="84"/>
    </row>
    <row r="54" spans="2:9" ht="15.6">
      <c r="C54" s="84"/>
      <c r="G54" s="84"/>
      <c r="H54" s="84"/>
      <c r="I54" s="84"/>
    </row>
    <row r="55" spans="2:9" ht="15.6">
      <c r="C55" s="84"/>
      <c r="G55" s="84"/>
      <c r="H55" s="84"/>
      <c r="I55" s="84"/>
    </row>
    <row r="56" spans="2:9" ht="15.6">
      <c r="C56" s="84"/>
      <c r="G56" s="84"/>
      <c r="H56" s="84"/>
      <c r="I56" s="84"/>
    </row>
    <row r="57" spans="2:9" ht="15.6">
      <c r="C57" s="84"/>
      <c r="G57" s="84"/>
      <c r="H57" s="84"/>
      <c r="I57" s="84"/>
    </row>
    <row r="58" spans="2:9" ht="15.6">
      <c r="C58" s="84"/>
      <c r="G58" s="84"/>
      <c r="H58" s="84"/>
      <c r="I58" s="84"/>
    </row>
    <row r="59" spans="2:9" ht="15.6">
      <c r="C59" s="84"/>
      <c r="G59" s="84"/>
      <c r="H59" s="84"/>
      <c r="I59" s="84"/>
    </row>
    <row r="60" spans="2:9" ht="15.6">
      <c r="C60" s="84"/>
      <c r="G60" s="84"/>
      <c r="H60" s="84"/>
      <c r="I60" s="84"/>
    </row>
    <row r="61" spans="2:9" ht="15.6">
      <c r="C61" s="84"/>
      <c r="G61" s="84"/>
      <c r="H61" s="84"/>
      <c r="I61" s="84"/>
    </row>
    <row r="62" spans="2:9" ht="15.6">
      <c r="C62" s="84"/>
      <c r="G62" s="84"/>
      <c r="H62" s="84"/>
      <c r="I62" s="84"/>
    </row>
    <row r="63" spans="2:9" ht="15.6">
      <c r="C63" s="84"/>
      <c r="G63" s="84"/>
      <c r="H63" s="84"/>
      <c r="I63" s="84"/>
    </row>
    <row r="64" spans="2:9" ht="15.6">
      <c r="C64" s="84"/>
      <c r="G64" s="84"/>
      <c r="H64" s="84"/>
      <c r="I64" s="84"/>
    </row>
    <row r="65" spans="3:9" ht="15.6">
      <c r="C65" s="84"/>
      <c r="H65" s="84"/>
      <c r="I65" s="84"/>
    </row>
    <row r="66" spans="3:9" ht="15.6">
      <c r="C66" s="84"/>
      <c r="H66" s="84"/>
      <c r="I66" s="84"/>
    </row>
    <row r="67" spans="3:9" ht="15.6">
      <c r="C67" s="84"/>
      <c r="F67" s="85"/>
      <c r="H67" s="84"/>
      <c r="I67" s="84"/>
    </row>
    <row r="68" spans="3:9" ht="15.6">
      <c r="F68" s="85"/>
      <c r="H68" s="84"/>
      <c r="I68" s="84"/>
    </row>
  </sheetData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9"/>
  <sheetViews>
    <sheetView showGridLines="0" topLeftCell="A31" zoomScale="70" zoomScaleNormal="70" workbookViewId="0">
      <selection activeCell="D50" sqref="D50"/>
    </sheetView>
  </sheetViews>
  <sheetFormatPr defaultColWidth="9.109375" defaultRowHeight="13.2"/>
  <cols>
    <col min="1" max="1" width="11.6640625" style="18" customWidth="1"/>
    <col min="2" max="7" width="13.6640625" style="18" customWidth="1"/>
    <col min="8" max="8" width="10.109375" style="18" bestFit="1" customWidth="1"/>
    <col min="9" max="10" width="9.109375" style="18"/>
    <col min="11" max="11" width="8.88671875" style="18" customWidth="1"/>
    <col min="12" max="12" width="18" style="18" bestFit="1" customWidth="1"/>
    <col min="13" max="16384" width="9.109375" style="18"/>
  </cols>
  <sheetData>
    <row r="1" spans="1:28" ht="13.8">
      <c r="A1" s="17" t="s">
        <v>10</v>
      </c>
      <c r="B1" s="17"/>
      <c r="C1" s="17"/>
      <c r="D1" s="17"/>
      <c r="E1" s="17"/>
      <c r="F1" s="17"/>
      <c r="G1" s="17"/>
    </row>
    <row r="2" spans="1:28" ht="15.6" customHeight="1">
      <c r="A2" s="23" t="s">
        <v>91</v>
      </c>
      <c r="B2" s="40" t="s">
        <v>116</v>
      </c>
      <c r="C2" s="86" t="s">
        <v>117</v>
      </c>
      <c r="D2" s="86" t="s">
        <v>118</v>
      </c>
      <c r="E2" s="86" t="s">
        <v>120</v>
      </c>
      <c r="F2" s="40" t="s">
        <v>135</v>
      </c>
      <c r="G2" s="21" t="s">
        <v>136</v>
      </c>
      <c r="AB2" s="87"/>
    </row>
    <row r="3" spans="1:28" ht="15.6" customHeight="1">
      <c r="A3" s="17" t="s">
        <v>98</v>
      </c>
      <c r="B3" s="28" t="s">
        <v>137</v>
      </c>
      <c r="C3" s="28" t="s">
        <v>138</v>
      </c>
      <c r="D3" s="28" t="s">
        <v>139</v>
      </c>
      <c r="E3" s="28" t="s">
        <v>140</v>
      </c>
      <c r="F3" s="28" t="s">
        <v>141</v>
      </c>
      <c r="G3" s="28" t="s">
        <v>142</v>
      </c>
      <c r="AB3" s="87"/>
    </row>
    <row r="4" spans="1:28" ht="14.4">
      <c r="A4" s="79" t="s">
        <v>143</v>
      </c>
      <c r="C4" s="80"/>
      <c r="D4" s="80"/>
      <c r="E4" s="80"/>
      <c r="F4" s="80"/>
      <c r="G4" s="80"/>
      <c r="AB4" s="87"/>
    </row>
    <row r="5" spans="1:28" ht="13.8">
      <c r="A5" s="19"/>
      <c r="B5" s="19"/>
      <c r="C5" s="19"/>
      <c r="D5" s="19"/>
      <c r="E5" s="19"/>
      <c r="F5" s="19"/>
      <c r="G5" s="19"/>
      <c r="AB5" s="87"/>
    </row>
    <row r="6" spans="1:28" ht="13.8">
      <c r="A6" s="19" t="s">
        <v>103</v>
      </c>
      <c r="B6" s="68">
        <v>345.52</v>
      </c>
      <c r="C6" s="68">
        <v>273.83999999999997</v>
      </c>
      <c r="D6" s="68">
        <v>219.72</v>
      </c>
      <c r="E6" s="88" t="s">
        <v>73</v>
      </c>
      <c r="F6" s="68">
        <v>263.63</v>
      </c>
      <c r="G6" s="68">
        <v>240.65</v>
      </c>
      <c r="AB6" s="87"/>
    </row>
    <row r="7" spans="1:28" ht="13.8">
      <c r="A7" s="19" t="s">
        <v>104</v>
      </c>
      <c r="B7" s="68">
        <v>393.53</v>
      </c>
      <c r="C7" s="68">
        <v>275.13</v>
      </c>
      <c r="D7" s="68">
        <v>246.75</v>
      </c>
      <c r="E7" s="88" t="s">
        <v>73</v>
      </c>
      <c r="F7" s="68">
        <v>307.58999999999997</v>
      </c>
      <c r="G7" s="68">
        <v>265.68</v>
      </c>
      <c r="AB7" s="87"/>
    </row>
    <row r="8" spans="1:28" ht="13.8">
      <c r="A8" s="19" t="s">
        <v>105</v>
      </c>
      <c r="B8" s="68">
        <v>468.11</v>
      </c>
      <c r="C8" s="68">
        <v>331.52</v>
      </c>
      <c r="D8" s="68">
        <v>241.57</v>
      </c>
      <c r="E8" s="88" t="s">
        <v>73</v>
      </c>
      <c r="F8" s="68">
        <v>354.22</v>
      </c>
      <c r="G8" s="68">
        <v>329.31</v>
      </c>
      <c r="AB8" s="87"/>
    </row>
    <row r="9" spans="1:28" ht="13.8">
      <c r="A9" s="19" t="s">
        <v>106</v>
      </c>
      <c r="B9" s="68">
        <v>489.94</v>
      </c>
      <c r="C9" s="68">
        <v>377.71</v>
      </c>
      <c r="D9" s="68">
        <v>238.87</v>
      </c>
      <c r="E9" s="88" t="s">
        <v>73</v>
      </c>
      <c r="F9" s="68">
        <v>359.7</v>
      </c>
      <c r="G9" s="68">
        <v>337.23</v>
      </c>
      <c r="AB9" s="87"/>
    </row>
    <row r="10" spans="1:28" ht="13.8">
      <c r="A10" s="19" t="s">
        <v>107</v>
      </c>
      <c r="B10" s="68">
        <v>368.49</v>
      </c>
      <c r="C10" s="68">
        <v>304.27</v>
      </c>
      <c r="D10" s="68">
        <v>209.97</v>
      </c>
      <c r="E10" s="88" t="s">
        <v>73</v>
      </c>
      <c r="F10" s="68">
        <v>301.2</v>
      </c>
      <c r="G10" s="68">
        <v>256.58</v>
      </c>
      <c r="AB10" s="87"/>
    </row>
    <row r="11" spans="1:28" ht="13.8">
      <c r="A11" s="19" t="s">
        <v>108</v>
      </c>
      <c r="B11" s="68">
        <v>324.56</v>
      </c>
      <c r="C11" s="68">
        <v>261.19</v>
      </c>
      <c r="D11" s="68">
        <v>153.16999999999999</v>
      </c>
      <c r="E11" s="88" t="s">
        <v>73</v>
      </c>
      <c r="F11" s="68">
        <v>262.2</v>
      </c>
      <c r="G11" s="68">
        <v>260.23</v>
      </c>
      <c r="AB11" s="87"/>
    </row>
    <row r="12" spans="1:28" ht="13.8">
      <c r="A12" s="19" t="s">
        <v>109</v>
      </c>
      <c r="B12" s="68">
        <v>316.88</v>
      </c>
      <c r="C12" s="68">
        <v>208.61</v>
      </c>
      <c r="D12" s="68">
        <v>145.1</v>
      </c>
      <c r="E12" s="88" t="s">
        <v>73</v>
      </c>
      <c r="F12" s="68">
        <v>267.94</v>
      </c>
      <c r="G12" s="68">
        <v>282.49</v>
      </c>
      <c r="AB12" s="87"/>
    </row>
    <row r="13" spans="1:28" ht="13.8">
      <c r="A13" s="19" t="s">
        <v>110</v>
      </c>
      <c r="B13" s="68">
        <v>345.02</v>
      </c>
      <c r="C13" s="68">
        <v>260.88</v>
      </c>
      <c r="D13" s="68">
        <v>173.53</v>
      </c>
      <c r="E13" s="88" t="s">
        <v>73</v>
      </c>
      <c r="F13" s="68">
        <v>291.14999999999998</v>
      </c>
      <c r="G13" s="68">
        <v>239.15</v>
      </c>
    </row>
    <row r="14" spans="1:28" ht="13.8">
      <c r="A14" s="19" t="s">
        <v>111</v>
      </c>
      <c r="B14" s="68">
        <v>308.27999999999997</v>
      </c>
      <c r="C14" s="68">
        <v>228.64</v>
      </c>
      <c r="D14" s="82">
        <v>164.16</v>
      </c>
      <c r="E14" s="88" t="s">
        <v>73</v>
      </c>
      <c r="F14" s="68">
        <v>272.38</v>
      </c>
      <c r="G14" s="68">
        <v>225.77</v>
      </c>
    </row>
    <row r="15" spans="1:28" ht="13.8">
      <c r="A15" s="19" t="s">
        <v>112</v>
      </c>
      <c r="B15" s="68">
        <v>299.5</v>
      </c>
      <c r="C15" s="68">
        <v>247.04</v>
      </c>
      <c r="D15" s="82">
        <v>187.7</v>
      </c>
      <c r="E15" s="88" t="s">
        <v>73</v>
      </c>
      <c r="F15" s="68">
        <v>273.99</v>
      </c>
      <c r="G15" s="68">
        <v>245.88</v>
      </c>
    </row>
    <row r="16" spans="1:28" ht="13.8">
      <c r="A16" s="19" t="s">
        <v>34</v>
      </c>
      <c r="B16" s="68">
        <v>392.31</v>
      </c>
      <c r="C16" s="68">
        <v>375.51</v>
      </c>
      <c r="D16" s="82">
        <v>246.22</v>
      </c>
      <c r="E16" s="88" t="s">
        <v>73</v>
      </c>
      <c r="F16" s="68">
        <v>351.87</v>
      </c>
      <c r="G16" s="68">
        <v>288.12</v>
      </c>
    </row>
    <row r="17" spans="1:13" ht="16.2">
      <c r="A17" s="19" t="s">
        <v>131</v>
      </c>
      <c r="B17" s="68">
        <v>435</v>
      </c>
      <c r="C17" s="68">
        <v>335</v>
      </c>
      <c r="D17" s="82">
        <v>295</v>
      </c>
      <c r="E17" s="88" t="s">
        <v>73</v>
      </c>
      <c r="F17" s="68">
        <v>425</v>
      </c>
      <c r="G17" s="68">
        <v>330</v>
      </c>
    </row>
    <row r="18" spans="1:13" ht="16.2">
      <c r="A18" s="19" t="s">
        <v>132</v>
      </c>
      <c r="B18" s="68">
        <v>390</v>
      </c>
      <c r="C18" s="68">
        <v>310</v>
      </c>
      <c r="D18" s="82">
        <v>245</v>
      </c>
      <c r="E18" s="88" t="s">
        <v>73</v>
      </c>
      <c r="F18" s="68">
        <v>350</v>
      </c>
      <c r="G18" s="68">
        <v>290</v>
      </c>
    </row>
    <row r="19" spans="1:13" ht="13.8">
      <c r="A19" s="23"/>
      <c r="B19" s="68"/>
      <c r="C19" s="68"/>
      <c r="D19" s="68"/>
      <c r="E19" s="88"/>
      <c r="F19" s="68"/>
      <c r="G19" s="68"/>
      <c r="I19" s="89"/>
      <c r="J19" s="90"/>
      <c r="K19" s="90"/>
      <c r="L19" s="90"/>
      <c r="M19" s="90"/>
    </row>
    <row r="20" spans="1:13" ht="13.8">
      <c r="A20" s="41" t="s">
        <v>34</v>
      </c>
      <c r="B20" s="128"/>
      <c r="C20" s="128"/>
      <c r="D20" s="128"/>
      <c r="E20" s="128"/>
      <c r="F20" s="128"/>
      <c r="G20" s="128"/>
      <c r="I20" s="89"/>
      <c r="J20" s="89"/>
      <c r="M20" s="90"/>
    </row>
    <row r="21" spans="1:13" ht="13.8">
      <c r="A21" s="19" t="s">
        <v>38</v>
      </c>
      <c r="B21" s="68">
        <v>367.11</v>
      </c>
      <c r="C21" s="68">
        <v>301.88</v>
      </c>
      <c r="D21" s="68">
        <v>211.25</v>
      </c>
      <c r="E21" s="88" t="s">
        <v>73</v>
      </c>
      <c r="F21" s="68">
        <v>327.24</v>
      </c>
      <c r="G21" s="68">
        <v>239.375</v>
      </c>
      <c r="H21" s="91"/>
      <c r="I21" s="89"/>
      <c r="J21" s="89"/>
      <c r="M21" s="90"/>
    </row>
    <row r="22" spans="1:13" ht="13.8">
      <c r="A22" s="19" t="s">
        <v>39</v>
      </c>
      <c r="B22" s="68">
        <v>387.83</v>
      </c>
      <c r="C22" s="68">
        <v>365.63</v>
      </c>
      <c r="D22" s="68">
        <v>216.25</v>
      </c>
      <c r="E22" s="88" t="s">
        <v>73</v>
      </c>
      <c r="F22" s="68">
        <v>333.89</v>
      </c>
      <c r="G22" s="68">
        <v>253.75</v>
      </c>
      <c r="H22" s="91"/>
      <c r="I22" s="89"/>
      <c r="J22" s="89"/>
    </row>
    <row r="23" spans="1:13" ht="13.8">
      <c r="A23" s="19" t="s">
        <v>41</v>
      </c>
      <c r="B23" s="68">
        <v>396.68</v>
      </c>
      <c r="C23" s="68">
        <v>435.83</v>
      </c>
      <c r="D23" s="68">
        <v>252.5</v>
      </c>
      <c r="E23" s="88" t="s">
        <v>73</v>
      </c>
      <c r="F23" s="68">
        <v>338.55</v>
      </c>
      <c r="G23" s="68">
        <v>275</v>
      </c>
      <c r="H23" s="91"/>
      <c r="I23" s="89"/>
    </row>
    <row r="24" spans="1:13" ht="13.8">
      <c r="A24" s="23" t="s">
        <v>42</v>
      </c>
      <c r="B24" s="68">
        <v>439.24</v>
      </c>
      <c r="C24" s="68">
        <v>443.75</v>
      </c>
      <c r="D24" s="68">
        <v>280.63</v>
      </c>
      <c r="E24" s="88" t="s">
        <v>73</v>
      </c>
      <c r="F24" s="68">
        <v>387.53</v>
      </c>
      <c r="G24" s="68">
        <v>313.125</v>
      </c>
      <c r="I24" s="90"/>
      <c r="J24" s="90"/>
      <c r="K24" s="90"/>
    </row>
    <row r="25" spans="1:13" ht="13.8">
      <c r="A25" s="23" t="s">
        <v>43</v>
      </c>
      <c r="B25" s="68">
        <v>427.28</v>
      </c>
      <c r="C25" s="68">
        <v>460</v>
      </c>
      <c r="D25" s="68">
        <v>291.88</v>
      </c>
      <c r="E25" s="88" t="s">
        <v>73</v>
      </c>
      <c r="F25" s="68">
        <v>376.07499999999999</v>
      </c>
      <c r="G25" s="68">
        <v>296.25</v>
      </c>
      <c r="I25" s="89"/>
      <c r="J25" s="89"/>
      <c r="L25" s="90"/>
    </row>
    <row r="26" spans="1:13" ht="13.8">
      <c r="A26" s="23" t="s">
        <v>45</v>
      </c>
      <c r="B26" s="68">
        <v>410.02</v>
      </c>
      <c r="C26" s="68">
        <v>456</v>
      </c>
      <c r="D26" s="68">
        <v>279.5</v>
      </c>
      <c r="E26" s="88" t="s">
        <v>73</v>
      </c>
      <c r="F26" s="68">
        <v>365.14</v>
      </c>
      <c r="G26" s="68">
        <v>322</v>
      </c>
      <c r="I26" s="89"/>
      <c r="J26" s="89"/>
      <c r="L26" s="90"/>
    </row>
    <row r="27" spans="1:13" ht="13.8">
      <c r="A27" s="23" t="s">
        <v>46</v>
      </c>
      <c r="B27" s="68">
        <v>413.36</v>
      </c>
      <c r="C27" s="68">
        <v>415</v>
      </c>
      <c r="D27" s="68">
        <v>258.125</v>
      </c>
      <c r="E27" s="88" t="s">
        <v>73</v>
      </c>
      <c r="F27" s="68">
        <v>377.57499999999999</v>
      </c>
      <c r="G27" s="68">
        <v>318.75</v>
      </c>
      <c r="I27" s="89"/>
      <c r="J27" s="89"/>
      <c r="L27" s="90"/>
    </row>
    <row r="28" spans="1:13" ht="13.8">
      <c r="A28" s="23" t="s">
        <v>47</v>
      </c>
      <c r="B28" s="68">
        <v>421.03</v>
      </c>
      <c r="C28" s="68">
        <v>360.625</v>
      </c>
      <c r="D28" s="68">
        <v>265</v>
      </c>
      <c r="E28" s="88" t="s">
        <v>73</v>
      </c>
      <c r="F28" s="68">
        <v>391.45</v>
      </c>
      <c r="G28" s="68">
        <v>335.63</v>
      </c>
      <c r="I28" s="89"/>
      <c r="J28" s="89"/>
      <c r="L28" s="90"/>
    </row>
    <row r="29" spans="1:13" ht="13.8">
      <c r="A29" s="23" t="s">
        <v>49</v>
      </c>
      <c r="B29" s="68">
        <v>378.18</v>
      </c>
      <c r="C29" s="68">
        <v>337.5</v>
      </c>
      <c r="D29" s="68">
        <v>252.5</v>
      </c>
      <c r="E29" s="88" t="s">
        <v>73</v>
      </c>
      <c r="F29" s="68">
        <v>345.9</v>
      </c>
      <c r="G29" s="68">
        <v>293.5</v>
      </c>
      <c r="I29" s="89"/>
      <c r="J29" s="89"/>
      <c r="L29" s="90"/>
    </row>
    <row r="30" spans="1:13" ht="13.8">
      <c r="A30" s="23" t="s">
        <v>50</v>
      </c>
      <c r="B30" s="68">
        <v>365.23</v>
      </c>
      <c r="C30" s="68">
        <v>321.875</v>
      </c>
      <c r="D30" s="68">
        <v>206.25</v>
      </c>
      <c r="E30" s="88" t="s">
        <v>73</v>
      </c>
      <c r="F30" s="68">
        <v>326.67499999999995</v>
      </c>
      <c r="G30" s="68">
        <v>262.5</v>
      </c>
      <c r="I30" s="89"/>
      <c r="J30" s="89"/>
      <c r="L30" s="90"/>
    </row>
    <row r="31" spans="1:13" ht="13.8">
      <c r="A31" s="23" t="s">
        <v>51</v>
      </c>
      <c r="B31" s="68">
        <v>358.21</v>
      </c>
      <c r="C31" s="68">
        <v>303</v>
      </c>
      <c r="D31" s="68">
        <v>219.5</v>
      </c>
      <c r="E31" s="88" t="s">
        <v>73</v>
      </c>
      <c r="F31" s="68">
        <v>329.45</v>
      </c>
      <c r="G31" s="68">
        <v>287.5</v>
      </c>
      <c r="I31" s="89"/>
      <c r="J31" s="89"/>
      <c r="L31" s="90"/>
    </row>
    <row r="32" spans="1:13" ht="13.8">
      <c r="A32" s="23" t="s">
        <v>37</v>
      </c>
      <c r="B32" s="68">
        <v>343.55</v>
      </c>
      <c r="C32" s="68">
        <v>305</v>
      </c>
      <c r="D32" s="68">
        <v>221.25</v>
      </c>
      <c r="E32" s="88" t="s">
        <v>73</v>
      </c>
      <c r="F32" s="68">
        <v>322.96249999999998</v>
      </c>
      <c r="G32" s="68">
        <v>260</v>
      </c>
      <c r="I32" s="89"/>
      <c r="J32" s="89"/>
      <c r="L32" s="90"/>
    </row>
    <row r="33" spans="1:10" ht="13.8">
      <c r="A33" s="23"/>
      <c r="B33" s="68"/>
      <c r="C33" s="68"/>
      <c r="D33" s="68"/>
      <c r="E33" s="68"/>
      <c r="F33" s="68"/>
      <c r="G33" s="68"/>
      <c r="H33" s="68"/>
    </row>
    <row r="34" spans="1:10" ht="13.8">
      <c r="A34" s="55" t="s">
        <v>53</v>
      </c>
      <c r="B34" s="68"/>
      <c r="C34" s="68"/>
      <c r="D34" s="68"/>
      <c r="E34" s="68"/>
      <c r="F34" s="68"/>
      <c r="G34" s="68"/>
      <c r="H34" s="68"/>
    </row>
    <row r="35" spans="1:10" ht="13.8">
      <c r="A35" s="23" t="s">
        <v>38</v>
      </c>
      <c r="B35" s="68">
        <v>325.43</v>
      </c>
      <c r="C35" s="68">
        <v>298.75</v>
      </c>
      <c r="D35" s="68">
        <v>222.5</v>
      </c>
      <c r="E35" s="88" t="s">
        <v>73</v>
      </c>
      <c r="F35" s="68">
        <v>322.82499999999999</v>
      </c>
      <c r="G35" s="68">
        <v>265.625</v>
      </c>
      <c r="H35" s="68"/>
    </row>
    <row r="36" spans="1:10" ht="13.8">
      <c r="A36" s="23" t="s">
        <v>39</v>
      </c>
      <c r="B36" s="68">
        <v>358.73</v>
      </c>
      <c r="C36" s="68">
        <v>304.5</v>
      </c>
      <c r="D36" s="68">
        <v>256.5</v>
      </c>
      <c r="E36" s="88" t="s">
        <v>73</v>
      </c>
      <c r="F36" s="68">
        <v>350.21999999999997</v>
      </c>
      <c r="G36" s="68">
        <v>252</v>
      </c>
      <c r="H36" s="68"/>
    </row>
    <row r="37" spans="1:10" ht="13.8">
      <c r="A37" s="23" t="s">
        <v>41</v>
      </c>
      <c r="B37" s="68">
        <v>399.53</v>
      </c>
      <c r="C37" s="68">
        <v>311.25</v>
      </c>
      <c r="D37" s="68">
        <v>289.16666666666669</v>
      </c>
      <c r="E37" s="88" t="s">
        <v>73</v>
      </c>
      <c r="F37" s="68">
        <v>382.9666666666667</v>
      </c>
      <c r="G37" s="68">
        <v>309.16666666666669</v>
      </c>
      <c r="H37" s="68"/>
    </row>
    <row r="38" spans="1:10" ht="13.8">
      <c r="A38" s="23" t="s">
        <v>144</v>
      </c>
      <c r="B38" s="68">
        <v>421.21</v>
      </c>
      <c r="C38" s="68">
        <v>318.125</v>
      </c>
      <c r="D38" s="68">
        <v>301.25</v>
      </c>
      <c r="E38" s="88" t="s">
        <v>73</v>
      </c>
      <c r="F38" s="68">
        <v>410.875</v>
      </c>
      <c r="G38" s="68">
        <v>326.25</v>
      </c>
      <c r="H38" s="68"/>
    </row>
    <row r="39" spans="1:10" ht="13.8">
      <c r="A39" s="23" t="s">
        <v>43</v>
      </c>
      <c r="B39" s="127">
        <v>460.45</v>
      </c>
      <c r="C39" s="68">
        <v>333.75</v>
      </c>
      <c r="D39" s="68">
        <v>320</v>
      </c>
      <c r="E39" s="88" t="s">
        <v>73</v>
      </c>
      <c r="F39" s="68">
        <v>454.625</v>
      </c>
      <c r="G39" s="68">
        <v>350</v>
      </c>
      <c r="H39" s="68"/>
    </row>
    <row r="40" spans="1:10" ht="13.8">
      <c r="A40" s="23" t="s">
        <v>45</v>
      </c>
      <c r="B40" s="127">
        <v>493.97500000000002</v>
      </c>
      <c r="C40" s="68">
        <v>345.625</v>
      </c>
      <c r="D40" s="68">
        <v>333.33300000000003</v>
      </c>
      <c r="E40" s="88" t="s">
        <v>73</v>
      </c>
      <c r="F40" s="68">
        <v>487.03750000000002</v>
      </c>
      <c r="G40" s="68">
        <v>392.5</v>
      </c>
      <c r="H40" s="68"/>
    </row>
    <row r="41" spans="1:10" ht="13.8">
      <c r="A41" s="23" t="s">
        <v>46</v>
      </c>
      <c r="B41" s="127">
        <v>475.35999999999996</v>
      </c>
      <c r="C41" s="68">
        <v>355</v>
      </c>
      <c r="D41" s="68">
        <v>321</v>
      </c>
      <c r="E41" s="88" t="s">
        <v>73</v>
      </c>
      <c r="F41" s="68">
        <v>470.77999999999992</v>
      </c>
      <c r="G41" s="68">
        <v>386</v>
      </c>
      <c r="H41" s="68"/>
    </row>
    <row r="42" spans="1:10" ht="13.8">
      <c r="A42" s="23" t="s">
        <v>47</v>
      </c>
      <c r="B42" s="127">
        <v>441.27499999999998</v>
      </c>
      <c r="C42" s="68">
        <v>388.75</v>
      </c>
      <c r="D42" s="68">
        <v>285.625</v>
      </c>
      <c r="E42" s="88" t="s">
        <v>73</v>
      </c>
      <c r="F42" s="68">
        <v>454.5</v>
      </c>
      <c r="G42" s="68">
        <v>351.25</v>
      </c>
      <c r="H42" s="68"/>
    </row>
    <row r="43" spans="1:10" ht="13.8">
      <c r="A43" s="23" t="s">
        <v>49</v>
      </c>
      <c r="B43" s="127">
        <v>445.92499999999995</v>
      </c>
      <c r="C43" s="68">
        <v>383.75</v>
      </c>
      <c r="D43" s="68">
        <v>281.875</v>
      </c>
      <c r="E43" s="88" t="s">
        <v>73</v>
      </c>
      <c r="F43" s="68">
        <v>478.17499999999995</v>
      </c>
      <c r="G43" s="68">
        <v>322.5</v>
      </c>
      <c r="H43" s="68"/>
    </row>
    <row r="44" spans="1:10" ht="13.8">
      <c r="A44" s="17" t="s">
        <v>50</v>
      </c>
      <c r="B44" s="126">
        <v>467.87</v>
      </c>
      <c r="C44" s="16">
        <v>369.5</v>
      </c>
      <c r="D44" s="16">
        <v>268.5</v>
      </c>
      <c r="E44" s="119" t="s">
        <v>73</v>
      </c>
      <c r="F44" s="16">
        <v>501.17999999999995</v>
      </c>
      <c r="G44" s="16">
        <v>351.5</v>
      </c>
      <c r="H44" s="68"/>
    </row>
    <row r="45" spans="1:10" ht="16.2">
      <c r="A45" s="58" t="s">
        <v>145</v>
      </c>
      <c r="B45" s="92"/>
      <c r="C45" s="92"/>
      <c r="D45" s="92"/>
      <c r="E45" s="92"/>
      <c r="F45" s="92"/>
      <c r="G45" s="92"/>
      <c r="I45" s="89"/>
    </row>
    <row r="46" spans="1:10" ht="16.2">
      <c r="A46" s="58" t="s">
        <v>146</v>
      </c>
      <c r="B46" s="93"/>
      <c r="C46" s="93"/>
      <c r="D46" s="93"/>
      <c r="E46" s="93"/>
      <c r="F46" s="93"/>
      <c r="G46" s="93"/>
      <c r="I46" s="89"/>
      <c r="J46" s="89"/>
    </row>
    <row r="47" spans="1:10" ht="13.8">
      <c r="A47" s="19"/>
      <c r="B47" s="93"/>
      <c r="C47" s="93"/>
      <c r="D47" s="93"/>
      <c r="E47" s="93"/>
      <c r="F47" s="93"/>
      <c r="G47" s="93"/>
      <c r="H47" s="59"/>
      <c r="I47" s="89"/>
      <c r="J47" s="89"/>
    </row>
    <row r="48" spans="1:10" ht="14.4">
      <c r="A48" s="19" t="s">
        <v>207</v>
      </c>
      <c r="B48" s="19"/>
      <c r="C48" s="19"/>
      <c r="D48" s="19"/>
      <c r="E48" s="19"/>
      <c r="F48" s="93"/>
      <c r="G48" s="93"/>
      <c r="I48" s="89"/>
      <c r="J48" s="89"/>
    </row>
    <row r="49" spans="1:10" ht="13.8">
      <c r="A49" s="25" t="s">
        <v>55</v>
      </c>
      <c r="B49" s="50">
        <f ca="1">NOW()</f>
        <v>44789.312603472223</v>
      </c>
      <c r="C49" s="19"/>
      <c r="D49" s="19"/>
      <c r="E49" s="19"/>
      <c r="F49" s="93"/>
      <c r="G49" s="93"/>
      <c r="I49" s="94"/>
      <c r="J49" s="94"/>
    </row>
    <row r="50" spans="1:10" ht="13.8">
      <c r="F50" s="93"/>
      <c r="G50" s="93"/>
      <c r="I50" s="94"/>
      <c r="J50" s="94"/>
    </row>
    <row r="51" spans="1:10" ht="13.8">
      <c r="F51" s="93"/>
      <c r="G51" s="93"/>
      <c r="I51" s="89"/>
      <c r="J51" s="89"/>
    </row>
    <row r="52" spans="1:10">
      <c r="I52" s="89"/>
      <c r="J52" s="89"/>
    </row>
    <row r="53" spans="1:10">
      <c r="I53" s="89"/>
      <c r="J53" s="89"/>
    </row>
    <row r="54" spans="1:10">
      <c r="I54" s="89"/>
      <c r="J54" s="89"/>
    </row>
    <row r="55" spans="1:10">
      <c r="I55" s="89"/>
      <c r="J55" s="89"/>
    </row>
    <row r="56" spans="1:10">
      <c r="I56" s="89"/>
      <c r="J56" s="89"/>
    </row>
    <row r="58" spans="1:10">
      <c r="I58" s="95"/>
      <c r="J58" s="95"/>
    </row>
    <row r="59" spans="1:10">
      <c r="I59" s="95"/>
      <c r="J59" s="95"/>
    </row>
  </sheetData>
  <phoneticPr fontId="1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2F2F-1448-450A-B9F2-4A23228C40BB}">
  <dimension ref="A1:H89"/>
  <sheetViews>
    <sheetView topLeftCell="A4" zoomScale="90" zoomScaleNormal="90" workbookViewId="0">
      <selection activeCell="H23" sqref="H23"/>
    </sheetView>
  </sheetViews>
  <sheetFormatPr defaultColWidth="9.109375" defaultRowHeight="13.8"/>
  <cols>
    <col min="1" max="1" width="11" style="148" customWidth="1"/>
    <col min="2" max="2" width="12.109375" style="148" bestFit="1" customWidth="1"/>
    <col min="3" max="3" width="10.44140625" style="148" customWidth="1"/>
    <col min="4" max="4" width="7.88671875" style="148" customWidth="1"/>
    <col min="5" max="5" width="9.33203125" style="148" bestFit="1" customWidth="1"/>
    <col min="6" max="8" width="7.88671875" style="148" customWidth="1"/>
    <col min="9" max="16384" width="9.109375" style="148"/>
  </cols>
  <sheetData>
    <row r="1" spans="1:8" ht="34.5" customHeight="1">
      <c r="A1" s="143" t="s">
        <v>147</v>
      </c>
      <c r="B1" s="184" t="s">
        <v>26</v>
      </c>
      <c r="C1" s="142" t="s">
        <v>14</v>
      </c>
      <c r="D1" s="146"/>
      <c r="E1" s="146"/>
      <c r="F1" s="146"/>
      <c r="G1" s="146"/>
      <c r="H1" s="146"/>
    </row>
    <row r="2" spans="1:8">
      <c r="A2" s="139" t="s">
        <v>105</v>
      </c>
      <c r="B2" s="145">
        <v>3042.0439999999999</v>
      </c>
      <c r="C2" s="147">
        <v>39.951197730615668</v>
      </c>
      <c r="D2" s="144"/>
      <c r="E2" s="144"/>
      <c r="F2" s="144"/>
      <c r="G2" s="144"/>
      <c r="H2" s="144"/>
    </row>
    <row r="3" spans="1:8">
      <c r="A3" s="139" t="s">
        <v>106</v>
      </c>
      <c r="B3" s="145">
        <v>3357.0039999999999</v>
      </c>
      <c r="C3" s="156">
        <v>44.036099851770224</v>
      </c>
      <c r="D3" s="144"/>
    </row>
    <row r="4" spans="1:8">
      <c r="A4" s="139" t="s">
        <v>107</v>
      </c>
      <c r="B4" s="145">
        <v>3928.07</v>
      </c>
      <c r="C4" s="156">
        <v>47.548994685937707</v>
      </c>
      <c r="D4" s="144"/>
    </row>
    <row r="5" spans="1:8">
      <c r="A5" s="139" t="s">
        <v>108</v>
      </c>
      <c r="B5" s="145">
        <v>3926.779</v>
      </c>
      <c r="C5" s="156">
        <v>48.038694918157127</v>
      </c>
      <c r="D5" s="144"/>
    </row>
    <row r="6" spans="1:8">
      <c r="A6" s="139" t="s">
        <v>109</v>
      </c>
      <c r="B6" s="145">
        <v>4296.4960000000001</v>
      </c>
      <c r="C6" s="156">
        <v>51.949024254588544</v>
      </c>
      <c r="D6" s="144"/>
    </row>
    <row r="7" spans="1:8">
      <c r="A7" s="139" t="s">
        <v>110</v>
      </c>
      <c r="B7" s="145">
        <v>4411.6329999999998</v>
      </c>
      <c r="C7" s="156">
        <v>49.268868240602174</v>
      </c>
      <c r="D7" s="144"/>
    </row>
    <row r="8" spans="1:8">
      <c r="A8" s="139" t="s">
        <v>111</v>
      </c>
      <c r="B8" s="145">
        <v>4428.1499999999996</v>
      </c>
      <c r="C8" s="156">
        <v>50.553120076717583</v>
      </c>
      <c r="D8" s="144"/>
    </row>
    <row r="9" spans="1:8">
      <c r="A9" s="139" t="s">
        <v>112</v>
      </c>
      <c r="B9" s="145">
        <v>3551.9079999999999</v>
      </c>
      <c r="C9" s="156">
        <v>47.397323156167019</v>
      </c>
      <c r="D9" s="144"/>
    </row>
    <row r="10" spans="1:8">
      <c r="A10" s="139" t="s">
        <v>34</v>
      </c>
      <c r="B10" s="145">
        <v>4216.3019999999997</v>
      </c>
      <c r="C10" s="156">
        <v>51.042964541239421</v>
      </c>
      <c r="D10" s="144"/>
    </row>
    <row r="11" spans="1:8">
      <c r="A11" s="139" t="s">
        <v>53</v>
      </c>
      <c r="B11" s="145">
        <v>4435.232</v>
      </c>
      <c r="C11" s="156">
        <v>51.374137052309692</v>
      </c>
      <c r="D11" s="144"/>
    </row>
    <row r="12" spans="1:8">
      <c r="A12" s="139" t="s">
        <v>180</v>
      </c>
      <c r="B12" s="145">
        <v>4530.5609999999997</v>
      </c>
      <c r="C12" s="156">
        <v>51.949421517927782</v>
      </c>
      <c r="D12" s="144"/>
    </row>
    <row r="13" spans="1:8">
      <c r="A13" s="139"/>
      <c r="B13" s="147"/>
    </row>
    <row r="14" spans="1:8">
      <c r="A14" s="139"/>
      <c r="B14" s="140"/>
    </row>
    <row r="15" spans="1:8">
      <c r="A15" s="139"/>
      <c r="B15" s="140"/>
    </row>
    <row r="16" spans="1:8">
      <c r="A16" s="139"/>
      <c r="B16" s="140"/>
    </row>
    <row r="17" spans="1:2">
      <c r="A17" s="139"/>
      <c r="B17" s="140"/>
    </row>
    <row r="18" spans="1:2">
      <c r="A18" s="139"/>
      <c r="B18" s="140"/>
    </row>
    <row r="19" spans="1:2">
      <c r="A19" s="139"/>
      <c r="B19" s="140"/>
    </row>
    <row r="20" spans="1:2">
      <c r="A20" s="139"/>
      <c r="B20" s="140"/>
    </row>
    <row r="21" spans="1:2">
      <c r="A21" s="139"/>
      <c r="B21" s="140"/>
    </row>
    <row r="22" spans="1:2">
      <c r="A22" s="139"/>
      <c r="B22" s="140"/>
    </row>
    <row r="23" spans="1:2">
      <c r="A23" s="139"/>
      <c r="B23" s="140"/>
    </row>
    <row r="24" spans="1:2">
      <c r="A24" s="139"/>
      <c r="B24" s="140"/>
    </row>
    <row r="25" spans="1:2">
      <c r="A25" s="139"/>
      <c r="B25" s="140"/>
    </row>
    <row r="26" spans="1:2">
      <c r="A26" s="139"/>
      <c r="B26" s="140"/>
    </row>
    <row r="27" spans="1:2">
      <c r="A27" s="149"/>
      <c r="B27" s="149"/>
    </row>
    <row r="28" spans="1:2">
      <c r="A28" s="149"/>
      <c r="B28" s="149"/>
    </row>
    <row r="29" spans="1:2">
      <c r="A29" s="149"/>
      <c r="B29" s="149"/>
    </row>
    <row r="30" spans="1:2">
      <c r="A30" s="149"/>
      <c r="B30" s="149"/>
    </row>
    <row r="31" spans="1:2">
      <c r="A31" s="149"/>
      <c r="B31" s="149"/>
    </row>
    <row r="32" spans="1:2">
      <c r="A32" s="149"/>
      <c r="B32" s="149"/>
    </row>
    <row r="33" spans="1:2">
      <c r="A33" s="149"/>
      <c r="B33" s="149"/>
    </row>
    <row r="34" spans="1:2">
      <c r="A34" s="149"/>
      <c r="B34" s="149"/>
    </row>
    <row r="35" spans="1:2">
      <c r="A35" s="149"/>
      <c r="B35" s="149"/>
    </row>
    <row r="36" spans="1:2">
      <c r="A36" s="149"/>
      <c r="B36" s="149"/>
    </row>
    <row r="37" spans="1:2">
      <c r="A37" s="149"/>
      <c r="B37" s="149"/>
    </row>
    <row r="38" spans="1:2">
      <c r="A38" s="149"/>
      <c r="B38" s="149"/>
    </row>
    <row r="39" spans="1:2">
      <c r="A39" s="149"/>
      <c r="B39" s="149"/>
    </row>
    <row r="40" spans="1:2">
      <c r="A40" s="149"/>
      <c r="B40" s="149"/>
    </row>
    <row r="41" spans="1:2">
      <c r="A41" s="149"/>
      <c r="B41" s="149"/>
    </row>
    <row r="42" spans="1:2">
      <c r="A42" s="149"/>
      <c r="B42" s="149"/>
    </row>
    <row r="43" spans="1:2">
      <c r="A43" s="149"/>
      <c r="B43" s="149"/>
    </row>
    <row r="44" spans="1:2">
      <c r="A44" s="149"/>
      <c r="B44" s="149"/>
    </row>
    <row r="45" spans="1:2">
      <c r="A45" s="149"/>
      <c r="B45" s="149"/>
    </row>
    <row r="46" spans="1:2">
      <c r="A46" s="149"/>
      <c r="B46" s="149"/>
    </row>
    <row r="47" spans="1:2">
      <c r="A47" s="149"/>
      <c r="B47" s="149"/>
    </row>
    <row r="48" spans="1:2">
      <c r="A48" s="149"/>
      <c r="B48" s="149"/>
    </row>
    <row r="49" spans="1:2">
      <c r="A49" s="149"/>
      <c r="B49" s="149"/>
    </row>
    <row r="50" spans="1:2">
      <c r="A50" s="149"/>
      <c r="B50" s="149"/>
    </row>
    <row r="51" spans="1:2">
      <c r="A51" s="149"/>
      <c r="B51" s="149"/>
    </row>
    <row r="52" spans="1:2">
      <c r="A52" s="149"/>
      <c r="B52" s="149"/>
    </row>
    <row r="53" spans="1:2">
      <c r="A53" s="149"/>
      <c r="B53" s="149"/>
    </row>
    <row r="54" spans="1:2">
      <c r="A54" s="149"/>
      <c r="B54" s="149"/>
    </row>
    <row r="55" spans="1:2">
      <c r="A55" s="149"/>
      <c r="B55" s="149"/>
    </row>
    <row r="56" spans="1:2">
      <c r="A56" s="149"/>
      <c r="B56" s="149"/>
    </row>
    <row r="57" spans="1:2">
      <c r="A57" s="149"/>
      <c r="B57" s="149"/>
    </row>
    <row r="58" spans="1:2">
      <c r="A58" s="149"/>
      <c r="B58" s="149"/>
    </row>
    <row r="59" spans="1:2">
      <c r="A59" s="149"/>
      <c r="B59" s="149"/>
    </row>
    <row r="60" spans="1:2">
      <c r="A60" s="149"/>
      <c r="B60" s="149"/>
    </row>
    <row r="61" spans="1:2">
      <c r="A61" s="149"/>
      <c r="B61" s="149"/>
    </row>
    <row r="62" spans="1:2">
      <c r="A62" s="149"/>
      <c r="B62" s="149"/>
    </row>
    <row r="63" spans="1:2">
      <c r="A63" s="149"/>
      <c r="B63" s="149"/>
    </row>
    <row r="64" spans="1:2">
      <c r="A64" s="149"/>
      <c r="B64" s="149"/>
    </row>
    <row r="65" spans="1:2">
      <c r="A65" s="149"/>
      <c r="B65" s="149"/>
    </row>
    <row r="66" spans="1:2">
      <c r="A66" s="149"/>
      <c r="B66" s="149"/>
    </row>
    <row r="67" spans="1:2">
      <c r="A67" s="149"/>
      <c r="B67" s="149"/>
    </row>
    <row r="68" spans="1:2">
      <c r="A68" s="149"/>
      <c r="B68" s="149"/>
    </row>
    <row r="69" spans="1:2">
      <c r="A69" s="149"/>
      <c r="B69" s="149"/>
    </row>
    <row r="70" spans="1:2">
      <c r="A70" s="149"/>
      <c r="B70" s="149"/>
    </row>
    <row r="71" spans="1:2">
      <c r="A71" s="149"/>
      <c r="B71" s="149"/>
    </row>
    <row r="72" spans="1:2">
      <c r="A72" s="149"/>
      <c r="B72" s="149"/>
    </row>
    <row r="73" spans="1:2">
      <c r="A73" s="149"/>
      <c r="B73" s="149"/>
    </row>
    <row r="74" spans="1:2">
      <c r="A74" s="149"/>
      <c r="B74" s="149"/>
    </row>
    <row r="75" spans="1:2">
      <c r="A75" s="149"/>
      <c r="B75" s="149"/>
    </row>
    <row r="76" spans="1:2">
      <c r="A76" s="149"/>
      <c r="B76" s="149"/>
    </row>
    <row r="77" spans="1:2">
      <c r="A77" s="149"/>
      <c r="B77" s="149"/>
    </row>
    <row r="78" spans="1:2">
      <c r="A78" s="149"/>
      <c r="B78" s="149"/>
    </row>
    <row r="79" spans="1:2">
      <c r="A79" s="149"/>
      <c r="B79" s="149"/>
    </row>
    <row r="80" spans="1:2">
      <c r="A80" s="149"/>
      <c r="B80" s="149"/>
    </row>
    <row r="81" spans="1:2">
      <c r="A81" s="149"/>
      <c r="B81" s="149"/>
    </row>
    <row r="82" spans="1:2">
      <c r="A82" s="149"/>
      <c r="B82" s="149"/>
    </row>
    <row r="83" spans="1:2">
      <c r="A83" s="149"/>
      <c r="B83" s="149"/>
    </row>
    <row r="84" spans="1:2">
      <c r="A84" s="149"/>
      <c r="B84" s="149"/>
    </row>
    <row r="85" spans="1:2">
      <c r="A85" s="149"/>
      <c r="B85" s="149"/>
    </row>
    <row r="86" spans="1:2">
      <c r="A86" s="149"/>
      <c r="B86" s="149"/>
    </row>
    <row r="87" spans="1:2">
      <c r="A87" s="149"/>
      <c r="B87" s="149"/>
    </row>
    <row r="88" spans="1:2">
      <c r="A88" s="149"/>
      <c r="B88" s="149"/>
    </row>
    <row r="89" spans="1:2">
      <c r="A89" s="149"/>
      <c r="B89" s="149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3c1da50d-9398-43ae-99ce-979307744be1"/>
    <ds:schemaRef ds:uri="http://purl.org/dc/terms/"/>
    <ds:schemaRef ds:uri="http://schemas.microsoft.com/office/2006/documentManagement/types"/>
    <ds:schemaRef ds:uri="52a62a5d-c671-4f59-8453-00a85cb6d91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 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adrian.osman</cp:lastModifiedBy>
  <cp:revision/>
  <dcterms:created xsi:type="dcterms:W3CDTF">2001-11-13T16:22:15Z</dcterms:created>
  <dcterms:modified xsi:type="dcterms:W3CDTF">2022-08-16T12:42:23Z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