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MTEDopenteamandtrainingmaterials-OilCrops/Shared Documents/Oil Crops/2022/OCS-22F June 2022/"/>
    </mc:Choice>
  </mc:AlternateContent>
  <xr:revisionPtr revIDLastSave="1510" documentId="8_{422AB601-8A7C-4398-A049-D2EB52B9C5F0}" xr6:coauthVersionLast="47" xr6:coauthVersionMax="47" xr10:uidLastSave="{56FDEA63-5EFF-47CE-A0F2-8C89F9D9896A}"/>
  <bookViews>
    <workbookView xWindow="-120" yWindow="-120" windowWidth="20730" windowHeight="11160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85" r:id="rId9"/>
    <sheet name="Figure 2" sheetId="71" r:id="rId10"/>
    <sheet name="Figure 3" sheetId="75" r:id="rId11"/>
    <sheet name="Figure 4" sheetId="76" r:id="rId12"/>
  </sheets>
  <definedNames>
    <definedName name="_xlnm.Print_Area" localSheetId="1">'Table 1'!$A$1:$N$42</definedName>
    <definedName name="_xlnm.Print_Area" localSheetId="7">'Table 10'!$A$1:$G$45</definedName>
    <definedName name="_xlnm.Print_Area" localSheetId="2">'Table 2'!$A$1:$J$34</definedName>
    <definedName name="_xlnm.Print_Area" localSheetId="3">'Table 3'!$A$1:$L$47</definedName>
    <definedName name="_xlnm.Print_Area" localSheetId="5">'Table 8'!$A$1:$G$43</definedName>
    <definedName name="_xlnm.Print_Area" localSheetId="6">'Table 9'!$A$1:$I$45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9" l="1"/>
  <c r="D32" i="9"/>
  <c r="H32" i="2"/>
  <c r="D32" i="2"/>
  <c r="G39" i="1"/>
  <c r="L39" i="1"/>
  <c r="G17" i="5"/>
  <c r="F17" i="5"/>
  <c r="D17" i="5" l="1"/>
  <c r="J39" i="1" l="1"/>
  <c r="J40" i="1"/>
  <c r="I31" i="9"/>
  <c r="E32" i="9"/>
  <c r="K32" i="9" s="1"/>
  <c r="G32" i="9" s="1"/>
  <c r="B32" i="9"/>
  <c r="E32" i="2"/>
  <c r="I32" i="2" s="1"/>
  <c r="G32" i="2" s="1"/>
  <c r="B32" i="2"/>
  <c r="L40" i="1"/>
  <c r="G40" i="1"/>
  <c r="E46" i="3" l="1"/>
  <c r="H46" i="3" s="1"/>
  <c r="N46" i="3" s="1"/>
  <c r="D46" i="3"/>
  <c r="E33" i="3"/>
  <c r="I33" i="3" s="1"/>
  <c r="G33" i="3" s="1"/>
  <c r="I21" i="3"/>
  <c r="E21" i="3"/>
  <c r="B33" i="3"/>
  <c r="B21" i="3"/>
  <c r="J8" i="3"/>
  <c r="E8" i="3"/>
  <c r="B8" i="3"/>
  <c r="B8" i="9"/>
  <c r="E8" i="9" s="1"/>
  <c r="K8" i="9" s="1"/>
  <c r="G8" i="9" s="1"/>
  <c r="I8" i="9" s="1"/>
  <c r="B8" i="2"/>
  <c r="E8" i="2" s="1"/>
  <c r="I8" i="2" s="1"/>
  <c r="N6" i="1"/>
  <c r="E8" i="1"/>
  <c r="H8" i="1" s="1"/>
  <c r="M8" i="1" s="1"/>
  <c r="K8" i="1" s="1"/>
  <c r="D8" i="1"/>
  <c r="E6" i="1"/>
  <c r="J31" i="9"/>
  <c r="D31" i="9"/>
  <c r="B31" i="9"/>
  <c r="H31" i="2"/>
  <c r="D31" i="2"/>
  <c r="B31" i="2"/>
  <c r="E31" i="2" s="1"/>
  <c r="I31" i="2" s="1"/>
  <c r="L38" i="1"/>
  <c r="J38" i="1"/>
  <c r="G38" i="1"/>
  <c r="E31" i="9" l="1"/>
  <c r="K31" i="9" s="1"/>
  <c r="G31" i="9" s="1"/>
  <c r="G31" i="2"/>
  <c r="D30" i="9"/>
  <c r="D29" i="9"/>
  <c r="D30" i="2"/>
  <c r="D29" i="2"/>
  <c r="G36" i="1"/>
  <c r="G35" i="1"/>
  <c r="L36" i="1"/>
  <c r="J36" i="1"/>
  <c r="J30" i="9"/>
  <c r="J29" i="9"/>
  <c r="H12" i="2"/>
  <c r="H30" i="2"/>
  <c r="H29" i="2"/>
  <c r="H28" i="2"/>
  <c r="H27" i="2"/>
  <c r="B30" i="9"/>
  <c r="B30" i="2"/>
  <c r="L35" i="1"/>
  <c r="L32" i="1"/>
  <c r="E37" i="1"/>
  <c r="E30" i="9" l="1"/>
  <c r="K30" i="9" s="1"/>
  <c r="G30" i="9" s="1"/>
  <c r="I30" i="9" s="1"/>
  <c r="E30" i="2"/>
  <c r="I30" i="2" s="1"/>
  <c r="G30" i="2" s="1"/>
  <c r="J35" i="1" l="1"/>
  <c r="B29" i="9"/>
  <c r="E29" i="9" s="1"/>
  <c r="K29" i="9" s="1"/>
  <c r="G29" i="9" s="1"/>
  <c r="I29" i="9" s="1"/>
  <c r="B29" i="2"/>
  <c r="E29" i="2" s="1"/>
  <c r="I29" i="2" s="1"/>
  <c r="G29" i="2" s="1"/>
  <c r="J28" i="9"/>
  <c r="D28" i="9"/>
  <c r="D28" i="2"/>
  <c r="L34" i="1"/>
  <c r="L37" i="1" s="1"/>
  <c r="G34" i="1"/>
  <c r="G37" i="1" s="1"/>
  <c r="H37" i="1" s="1"/>
  <c r="M37" i="1" s="1"/>
  <c r="J34" i="1"/>
  <c r="J32" i="1"/>
  <c r="J37" i="1" l="1"/>
  <c r="K37" i="1" s="1"/>
  <c r="B28" i="9"/>
  <c r="E28" i="9" s="1"/>
  <c r="K28" i="9" s="1"/>
  <c r="G28" i="9" s="1"/>
  <c r="I28" i="9" s="1"/>
  <c r="B28" i="2"/>
  <c r="E28" i="2" s="1"/>
  <c r="I28" i="2" s="1"/>
  <c r="G28" i="2" s="1"/>
  <c r="L16" i="1"/>
  <c r="J27" i="9" l="1"/>
  <c r="D27" i="9"/>
  <c r="D27" i="2"/>
  <c r="G32" i="1"/>
  <c r="B27" i="9"/>
  <c r="B27" i="2"/>
  <c r="E27" i="9" l="1"/>
  <c r="K27" i="9" s="1"/>
  <c r="G27" i="9" s="1"/>
  <c r="I27" i="9" s="1"/>
  <c r="E27" i="2"/>
  <c r="I27" i="2" s="1"/>
  <c r="G27" i="2" s="1"/>
  <c r="J26" i="9"/>
  <c r="D26" i="9"/>
  <c r="H26" i="2"/>
  <c r="D26" i="2"/>
  <c r="L31" i="1"/>
  <c r="G31" i="1"/>
  <c r="J31" i="1" l="1"/>
  <c r="E33" i="1" l="1"/>
  <c r="B26" i="9"/>
  <c r="E26" i="9" s="1"/>
  <c r="K26" i="9" s="1"/>
  <c r="G26" i="9" s="1"/>
  <c r="I26" i="9" s="1"/>
  <c r="B26" i="2"/>
  <c r="E26" i="2" s="1"/>
  <c r="I26" i="2" s="1"/>
  <c r="G26" i="2" s="1"/>
  <c r="B20" i="3" l="1"/>
  <c r="D20" i="9" l="1"/>
  <c r="D17" i="9"/>
  <c r="D16" i="9"/>
  <c r="D15" i="9"/>
  <c r="D14" i="9"/>
  <c r="D13" i="9"/>
  <c r="D12" i="9"/>
  <c r="D11" i="9"/>
  <c r="J22" i="9"/>
  <c r="D22" i="9"/>
  <c r="H22" i="2"/>
  <c r="D22" i="2"/>
  <c r="L30" i="1"/>
  <c r="L33" i="1" s="1"/>
  <c r="G30" i="1"/>
  <c r="G33" i="1" s="1"/>
  <c r="H33" i="1" l="1"/>
  <c r="M33" i="1" s="1"/>
  <c r="J30" i="1"/>
  <c r="J33" i="1" s="1"/>
  <c r="K33" i="1" l="1"/>
  <c r="L6" i="9"/>
  <c r="H23" i="9"/>
  <c r="H6" i="9" s="1"/>
  <c r="C23" i="9"/>
  <c r="C6" i="9" s="1"/>
  <c r="B22" i="9"/>
  <c r="E22" i="9" s="1"/>
  <c r="K22" i="9" s="1"/>
  <c r="G22" i="9" s="1"/>
  <c r="I22" i="9" s="1"/>
  <c r="J6" i="2"/>
  <c r="C23" i="2"/>
  <c r="C6" i="2" s="1"/>
  <c r="B22" i="2"/>
  <c r="E22" i="2" s="1"/>
  <c r="I22" i="2" s="1"/>
  <c r="G22" i="2" s="1"/>
  <c r="J21" i="9"/>
  <c r="D21" i="9"/>
  <c r="H21" i="2"/>
  <c r="D21" i="2"/>
  <c r="L25" i="1"/>
  <c r="G25" i="1"/>
  <c r="J25" i="1" l="1"/>
  <c r="J24" i="1"/>
  <c r="B21" i="9" l="1"/>
  <c r="E21" i="9" s="1"/>
  <c r="K21" i="9" s="1"/>
  <c r="G21" i="9" s="1"/>
  <c r="I21" i="9" s="1"/>
  <c r="B21" i="2"/>
  <c r="E21" i="2" s="1"/>
  <c r="I21" i="2" s="1"/>
  <c r="G21" i="2" s="1"/>
  <c r="E26" i="1"/>
  <c r="J20" i="9" l="1"/>
  <c r="B20" i="9"/>
  <c r="E20" i="9" s="1"/>
  <c r="K20" i="9" s="1"/>
  <c r="H20" i="2"/>
  <c r="D20" i="2"/>
  <c r="B20" i="2"/>
  <c r="E20" i="2" s="1"/>
  <c r="I20" i="2" s="1"/>
  <c r="L24" i="1"/>
  <c r="G24" i="1"/>
  <c r="G20" i="9" l="1"/>
  <c r="G20" i="2"/>
  <c r="I20" i="9" l="1"/>
  <c r="D45" i="3"/>
  <c r="B7" i="9"/>
  <c r="D7" i="1"/>
  <c r="J19" i="9"/>
  <c r="D19" i="9"/>
  <c r="H19" i="2"/>
  <c r="D19" i="2"/>
  <c r="L23" i="1"/>
  <c r="L26" i="1" s="1"/>
  <c r="G23" i="1"/>
  <c r="G26" i="1" s="1"/>
  <c r="H26" i="1" s="1"/>
  <c r="M26" i="1" s="1"/>
  <c r="B19" i="9"/>
  <c r="B19" i="2"/>
  <c r="J23" i="1"/>
  <c r="J26" i="1" s="1"/>
  <c r="E19" i="2" l="1"/>
  <c r="I19" i="2" s="1"/>
  <c r="G19" i="2" s="1"/>
  <c r="E19" i="9"/>
  <c r="K19" i="9" s="1"/>
  <c r="G19" i="9" s="1"/>
  <c r="K26" i="1"/>
  <c r="J18" i="9"/>
  <c r="J17" i="9"/>
  <c r="J16" i="9"/>
  <c r="J15" i="9"/>
  <c r="J14" i="9"/>
  <c r="J13" i="9"/>
  <c r="J12" i="9"/>
  <c r="J11" i="9"/>
  <c r="D18" i="9"/>
  <c r="D23" i="9" s="1"/>
  <c r="D6" i="9" s="1"/>
  <c r="J23" i="9" l="1"/>
  <c r="J6" i="9" s="1"/>
  <c r="I19" i="9"/>
  <c r="H18" i="2"/>
  <c r="H17" i="2"/>
  <c r="H16" i="2"/>
  <c r="H15" i="2"/>
  <c r="H14" i="2"/>
  <c r="H13" i="2"/>
  <c r="H11" i="2"/>
  <c r="D18" i="2"/>
  <c r="D17" i="2"/>
  <c r="D16" i="2"/>
  <c r="D15" i="2"/>
  <c r="D14" i="2"/>
  <c r="D13" i="2"/>
  <c r="D12" i="2"/>
  <c r="D11" i="2"/>
  <c r="H23" i="2" l="1"/>
  <c r="H6" i="2" s="1"/>
  <c r="D23" i="2"/>
  <c r="D6" i="2" s="1"/>
  <c r="L21" i="1"/>
  <c r="L20" i="1"/>
  <c r="L19" i="1"/>
  <c r="L17" i="1"/>
  <c r="L15" i="1"/>
  <c r="L13" i="1"/>
  <c r="L12" i="1"/>
  <c r="L11" i="1"/>
  <c r="G21" i="1"/>
  <c r="G20" i="1"/>
  <c r="G19" i="1"/>
  <c r="G17" i="1"/>
  <c r="G16" i="1"/>
  <c r="G15" i="1"/>
  <c r="G13" i="1"/>
  <c r="G12" i="1"/>
  <c r="G11" i="1"/>
  <c r="J21" i="1"/>
  <c r="J20" i="1"/>
  <c r="J19" i="1"/>
  <c r="J17" i="1"/>
  <c r="J16" i="1"/>
  <c r="J15" i="1"/>
  <c r="J13" i="1"/>
  <c r="J12" i="1"/>
  <c r="J11" i="1"/>
  <c r="B18" i="9" l="1"/>
  <c r="B18" i="2"/>
  <c r="E18" i="2" s="1"/>
  <c r="E22" i="1"/>
  <c r="G22" i="1"/>
  <c r="H22" i="1" l="1"/>
  <c r="M22" i="1" s="1"/>
  <c r="E18" i="9"/>
  <c r="K18" i="9" s="1"/>
  <c r="G18" i="9" s="1"/>
  <c r="I18" i="2"/>
  <c r="G18" i="2" s="1"/>
  <c r="B35" i="9"/>
  <c r="I18" i="9" l="1"/>
  <c r="I20" i="3"/>
  <c r="I19" i="3"/>
  <c r="B7" i="2" l="1"/>
  <c r="L22" i="1" l="1"/>
  <c r="B17" i="9" l="1"/>
  <c r="E17" i="9" s="1"/>
  <c r="J22" i="1"/>
  <c r="K22" i="1" s="1"/>
  <c r="B17" i="2"/>
  <c r="E17" i="2" s="1"/>
  <c r="K17" i="9" l="1"/>
  <c r="G17" i="9" s="1"/>
  <c r="I17" i="9" s="1"/>
  <c r="I17" i="2"/>
  <c r="G17" i="2" l="1"/>
  <c r="A16" i="10" l="1"/>
  <c r="B16" i="9" l="1"/>
  <c r="E16" i="9" s="1"/>
  <c r="K16" i="9" s="1"/>
  <c r="G16" i="9" s="1"/>
  <c r="I16" i="9" s="1"/>
  <c r="B16" i="2"/>
  <c r="E16" i="2" s="1"/>
  <c r="E7" i="2"/>
  <c r="E7" i="9"/>
  <c r="K7" i="9" s="1"/>
  <c r="G7" i="9" s="1"/>
  <c r="I7" i="9" s="1"/>
  <c r="I7" i="2" l="1"/>
  <c r="I16" i="2"/>
  <c r="G16" i="2" s="1"/>
  <c r="B7" i="3"/>
  <c r="E7" i="3" s="1"/>
  <c r="E20" i="3"/>
  <c r="B32" i="3"/>
  <c r="E45" i="3"/>
  <c r="H45" i="3" s="1"/>
  <c r="D44" i="3"/>
  <c r="N45" i="3" l="1"/>
  <c r="E32" i="3"/>
  <c r="I32" i="3" s="1"/>
  <c r="G32" i="3" s="1"/>
  <c r="B15" i="2"/>
  <c r="E18" i="1"/>
  <c r="E15" i="2" l="1"/>
  <c r="I15" i="2" l="1"/>
  <c r="G15" i="2" s="1"/>
  <c r="E19" i="3"/>
  <c r="B15" i="9"/>
  <c r="E15" i="9" s="1"/>
  <c r="K15" i="9" s="1"/>
  <c r="G15" i="9" s="1"/>
  <c r="I15" i="9" s="1"/>
  <c r="B46" i="5" l="1"/>
  <c r="L18" i="1" l="1"/>
  <c r="G18" i="1"/>
  <c r="H18" i="1" s="1"/>
  <c r="M18" i="1" s="1"/>
  <c r="B14" i="2" l="1"/>
  <c r="E14" i="2" s="1"/>
  <c r="B14" i="9"/>
  <c r="E14" i="9" s="1"/>
  <c r="K14" i="9" s="1"/>
  <c r="G14" i="9" s="1"/>
  <c r="I14" i="9" s="1"/>
  <c r="J18" i="1"/>
  <c r="F27" i="1"/>
  <c r="F6" i="1" s="1"/>
  <c r="I14" i="2" l="1"/>
  <c r="K18" i="1"/>
  <c r="G14" i="2" l="1"/>
  <c r="B13" i="9" l="1"/>
  <c r="E13" i="9" s="1"/>
  <c r="K13" i="9" s="1"/>
  <c r="G13" i="9" s="1"/>
  <c r="I13" i="9" s="1"/>
  <c r="B13" i="2" l="1"/>
  <c r="E13" i="2" s="1"/>
  <c r="I13" i="2" l="1"/>
  <c r="G13" i="2" s="1"/>
  <c r="L14" i="1"/>
  <c r="L27" i="1" s="1"/>
  <c r="L6" i="1" s="1"/>
  <c r="B12" i="9" l="1"/>
  <c r="E12" i="9" s="1"/>
  <c r="K12" i="9" s="1"/>
  <c r="G12" i="9" s="1"/>
  <c r="I12" i="9" s="1"/>
  <c r="B12" i="2"/>
  <c r="E12" i="2" s="1"/>
  <c r="I12" i="2" l="1"/>
  <c r="G12" i="2" s="1"/>
  <c r="J14" i="1"/>
  <c r="J27" i="1" s="1"/>
  <c r="J6" i="1" s="1"/>
  <c r="E23" i="2"/>
  <c r="E6" i="2" s="1"/>
  <c r="G14" i="1" l="1"/>
  <c r="G27" i="1" s="1"/>
  <c r="G6" i="1" s="1"/>
  <c r="E23" i="9" l="1"/>
  <c r="E6" i="9" s="1"/>
  <c r="K6" i="9" s="1"/>
  <c r="H44" i="3" l="1"/>
  <c r="E31" i="3"/>
  <c r="E6" i="3"/>
  <c r="J6" i="3" s="1"/>
  <c r="N44" i="3" l="1"/>
  <c r="I31" i="3"/>
  <c r="G31" i="3" s="1"/>
  <c r="D6" i="1" l="1"/>
  <c r="B50" i="3" l="1"/>
  <c r="E11" i="9" l="1"/>
  <c r="E11" i="2"/>
  <c r="B43" i="1"/>
  <c r="K11" i="9" l="1"/>
  <c r="I11" i="2"/>
  <c r="I23" i="2" s="1"/>
  <c r="I6" i="2" s="1"/>
  <c r="G11" i="2"/>
  <c r="G23" i="2" s="1"/>
  <c r="G6" i="2" s="1"/>
  <c r="K23" i="9" l="1"/>
  <c r="G11" i="9"/>
  <c r="B47" i="6"/>
  <c r="B45" i="4"/>
  <c r="B35" i="2"/>
  <c r="I11" i="9" l="1"/>
  <c r="I23" i="9" s="1"/>
  <c r="I6" i="9" s="1"/>
  <c r="G23" i="9"/>
  <c r="G6" i="9" s="1"/>
  <c r="J7" i="3" l="1"/>
  <c r="H6" i="1" l="1"/>
  <c r="M6" i="1" s="1"/>
  <c r="K6" i="1" s="1"/>
  <c r="H14" i="1"/>
  <c r="M14" i="1" s="1"/>
  <c r="H27" i="1" l="1"/>
  <c r="M27" i="1"/>
  <c r="K14" i="1"/>
  <c r="K27" i="1" s="1"/>
  <c r="E7" i="1" s="1"/>
  <c r="H7" i="1" s="1"/>
  <c r="M7" i="1" s="1"/>
  <c r="K7" i="1" s="1"/>
</calcChain>
</file>

<file path=xl/sharedStrings.xml><?xml version="1.0" encoding="utf-8"?>
<sst xmlns="http://schemas.openxmlformats.org/spreadsheetml/2006/main" count="578" uniqueCount="196">
  <si>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</si>
  <si>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</si>
  <si>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</si>
  <si>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</si>
  <si>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</si>
  <si>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</si>
  <si>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</si>
  <si>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</si>
  <si>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</si>
  <si>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</si>
  <si>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</si>
  <si>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</si>
  <si>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</si>
  <si>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</si>
  <si>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</si>
  <si>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</si>
  <si>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</si>
  <si>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</si>
  <si>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</si>
  <si>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</si>
  <si>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</si>
  <si>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</si>
  <si>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</si>
  <si>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</si>
  <si>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</si>
  <si>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</si>
  <si>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</si>
  <si>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</si>
  <si>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</si>
  <si>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</si>
  <si>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</si>
  <si>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</si>
  <si>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</si>
  <si>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</si>
  <si>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</si>
  <si>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</si>
  <si>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</si>
  <si>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</si>
  <si>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</si>
  <si>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</si>
  <si>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</si>
  <si>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</si>
  <si>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</si>
  <si>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</si>
  <si>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</si>
  <si>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</si>
  <si>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</si>
  <si>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</si>
  <si>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</si>
  <si>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</si>
  <si>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</si>
  <si>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</si>
  <si>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</si>
  <si>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</si>
  <si>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</si>
  <si>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</si>
  <si>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</si>
  <si>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</si>
  <si>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</si>
  <si>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</si>
  <si>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</si>
  <si>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</si>
  <si>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</si>
  <si>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</si>
  <si>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</si>
  <si>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</si>
  <si>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</si>
  <si>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NA = Not available. 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</si>
  <si>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</si>
  <si>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</si>
  <si>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</si>
  <si>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</si>
  <si>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</si>
  <si>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</si>
  <si>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</si>
  <si>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</si>
  <si>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</si>
  <si>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</si>
  <si>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</si>
  <si>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</si>
  <si>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</si>
  <si>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</si>
  <si>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</si>
  <si>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</si>
  <si>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</si>
  <si>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</si>
  <si>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</si>
  <si>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</si>
  <si>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</si>
  <si>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</si>
  <si>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t>Million Pounds</t>
  </si>
  <si>
    <t xml:space="preserve">food </t>
  </si>
  <si>
    <t>1,000 acres</t>
  </si>
  <si>
    <t>Pounds/acre</t>
  </si>
  <si>
    <t xml:space="preserve">      Million pounds</t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</si>
  <si>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</si>
  <si>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</si>
  <si>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</si>
  <si>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</si>
  <si>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</si>
  <si>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</si>
  <si>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</si>
  <si>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</si>
  <si>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</si>
  <si>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</si>
  <si>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</si>
  <si>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</si>
  <si>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</si>
  <si>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</si>
  <si>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</si>
  <si>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</si>
  <si>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</si>
  <si>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</si>
  <si>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</si>
  <si>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</si>
  <si>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</si>
  <si>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</si>
  <si>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</si>
  <si>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2021/22</t>
    </r>
    <r>
      <rPr>
        <vertAlign val="superscript"/>
        <sz val="11"/>
        <rFont val="Arial"/>
        <family val="2"/>
      </rPr>
      <t>4</t>
    </r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</si>
  <si>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</si>
  <si>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</si>
  <si>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</si>
  <si>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</si>
  <si>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</si>
  <si>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</si>
  <si>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</si>
  <si>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</si>
  <si>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</si>
  <si>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</si>
  <si>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</si>
  <si>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</si>
  <si>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</si>
  <si>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</si>
  <si>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</si>
  <si>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</si>
  <si>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</si>
  <si>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</si>
  <si>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2021/22</t>
    </r>
    <r>
      <rPr>
        <vertAlign val="superscript"/>
        <sz val="11"/>
        <rFont val="Arial"/>
        <family val="2"/>
      </rPr>
      <t>7</t>
    </r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</si>
  <si>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</si>
  <si>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</si>
  <si>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</si>
  <si>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</si>
  <si>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</si>
  <si>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</si>
  <si>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</si>
  <si>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</si>
  <si>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</si>
  <si>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</si>
  <si>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</si>
  <si>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</si>
  <si>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</si>
  <si>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</si>
  <si>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</si>
  <si>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</si>
  <si>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</si>
  <si>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</si>
  <si>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 xml:space="preserve">Soybean oil </t>
  </si>
  <si>
    <t xml:space="preserve">Canola oil </t>
  </si>
  <si>
    <t>Region</t>
  </si>
  <si>
    <t>Week</t>
  </si>
  <si>
    <t>Minnesota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</si>
  <si>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</si>
  <si>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</si>
  <si>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</si>
  <si>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</si>
  <si>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</si>
  <si>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</si>
  <si>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</si>
  <si>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</si>
  <si>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</si>
  <si>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North Dakota</t>
  </si>
  <si>
    <t>United States</t>
  </si>
  <si>
    <t>Aug</t>
  </si>
  <si>
    <t>Palm oil</t>
  </si>
  <si>
    <t>2021/22* May</t>
  </si>
  <si>
    <t>2021/22* June</t>
  </si>
  <si>
    <t>2022/23*May</t>
  </si>
  <si>
    <t xml:space="preserve">Sunflower oil </t>
  </si>
  <si>
    <t>2022/23*June</t>
  </si>
  <si>
    <t>Beginning stocks</t>
  </si>
  <si>
    <t>Country</t>
  </si>
  <si>
    <t>United States 2020/21</t>
  </si>
  <si>
    <t>Brazil 2020/21</t>
  </si>
  <si>
    <t>United States 2021/22</t>
  </si>
  <si>
    <t>Brazil 2021/22</t>
  </si>
  <si>
    <t>Sept</t>
  </si>
  <si>
    <t>Oct</t>
  </si>
  <si>
    <t>Nov</t>
  </si>
  <si>
    <t>Dec</t>
  </si>
  <si>
    <t>Jan</t>
  </si>
  <si>
    <t>Feb</t>
  </si>
  <si>
    <t>Mar</t>
  </si>
  <si>
    <t>Apr</t>
  </si>
  <si>
    <t>Jun</t>
  </si>
  <si>
    <t>Production marketing year</t>
  </si>
  <si>
    <t>2017–2021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</si>
</sst>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#,##0.000"/>
    <numFmt numFmtId="173" formatCode="#,##0.00_)"/>
    <numFmt numFmtId="174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Helvetica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24" fillId="0" borderId="0"/>
    <xf numFmtId="0" fontId="9" fillId="0" borderId="0"/>
    <xf numFmtId="0" fontId="8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</cellStyleXfs>
  <cellXfs count="173">
    <xf numFmtId="0" fontId="0" fillId="0" borderId="0" xfId="0"/>
    <xf numFmtId="0" fontId="11" fillId="0" borderId="0" xfId="8" applyFont="1"/>
    <xf numFmtId="0" fontId="12" fillId="0" borderId="0" xfId="8" applyFont="1"/>
    <xf numFmtId="0" fontId="17" fillId="0" borderId="0" xfId="8" applyFont="1" applyFill="1"/>
    <xf numFmtId="0" fontId="18" fillId="0" borderId="0" xfId="8" applyFont="1"/>
    <xf numFmtId="169" fontId="19" fillId="0" borderId="0" xfId="1" applyNumberFormat="1" applyFont="1" applyFill="1" applyAlignment="1">
      <alignment horizontal="right" indent="1"/>
    </xf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Border="1" applyAlignment="1">
      <alignment horizontal="right" indent="1"/>
    </xf>
    <xf numFmtId="0" fontId="25" fillId="0" borderId="0" xfId="7" applyFont="1" applyAlignment="1">
      <alignment horizontal="left"/>
    </xf>
    <xf numFmtId="0" fontId="26" fillId="0" borderId="0" xfId="5" applyFont="1" applyAlignment="1" applyProtection="1"/>
    <xf numFmtId="14" fontId="25" fillId="0" borderId="0" xfId="7" applyNumberFormat="1" applyFont="1" applyAlignment="1">
      <alignment horizontal="left"/>
    </xf>
    <xf numFmtId="0" fontId="26" fillId="0" borderId="0" xfId="4" applyFont="1" applyAlignment="1" applyProtection="1"/>
    <xf numFmtId="0" fontId="19" fillId="0" borderId="0" xfId="7" quotePrefix="1" applyFont="1" applyAlignment="1">
      <alignment horizontal="left"/>
    </xf>
    <xf numFmtId="0" fontId="19" fillId="0" borderId="0" xfId="8" applyFont="1" applyBorder="1" applyAlignment="1">
      <alignment wrapText="1"/>
    </xf>
    <xf numFmtId="169" fontId="19" fillId="0" borderId="0" xfId="1" applyNumberFormat="1" applyFont="1" applyFill="1" applyBorder="1" applyAlignment="1">
      <alignment horizontal="right"/>
    </xf>
    <xf numFmtId="169" fontId="19" fillId="0" borderId="0" xfId="0" applyNumberFormat="1" applyFont="1" applyFill="1"/>
    <xf numFmtId="2" fontId="19" fillId="0" borderId="1" xfId="0" applyNumberFormat="1" applyFont="1" applyFill="1" applyBorder="1" applyAlignment="1">
      <alignment horizontal="right" indent="2"/>
    </xf>
    <xf numFmtId="0" fontId="19" fillId="0" borderId="1" xfId="0" applyFont="1" applyFill="1" applyBorder="1"/>
    <xf numFmtId="0" fontId="0" fillId="0" borderId="0" xfId="0" applyFill="1"/>
    <xf numFmtId="0" fontId="19" fillId="0" borderId="0" xfId="0" applyFont="1" applyFill="1"/>
    <xf numFmtId="0" fontId="19" fillId="0" borderId="2" xfId="0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0" fillId="0" borderId="2" xfId="0" applyFill="1" applyBorder="1"/>
    <xf numFmtId="0" fontId="19" fillId="0" borderId="0" xfId="0" applyFont="1" applyFill="1" applyBorder="1"/>
    <xf numFmtId="0" fontId="19" fillId="0" borderId="2" xfId="0" applyFont="1" applyFill="1" applyBorder="1" applyAlignment="1">
      <alignment horizontal="left"/>
    </xf>
    <xf numFmtId="0" fontId="19" fillId="0" borderId="0" xfId="0" applyFont="1" applyFill="1" applyAlignment="1">
      <alignment horizontal="right"/>
    </xf>
    <xf numFmtId="16" fontId="19" fillId="0" borderId="1" xfId="0" quotePrefix="1" applyNumberFormat="1" applyFont="1" applyFill="1" applyBorder="1"/>
    <xf numFmtId="16" fontId="19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20" fillId="0" borderId="3" xfId="0" quotePrefix="1" applyFont="1" applyFill="1" applyBorder="1" applyAlignment="1">
      <alignment horizontal="center"/>
    </xf>
    <xf numFmtId="0" fontId="20" fillId="0" borderId="0" xfId="0" quotePrefix="1" applyFont="1" applyFill="1" applyAlignment="1">
      <alignment horizontal="right"/>
    </xf>
    <xf numFmtId="167" fontId="19" fillId="0" borderId="0" xfId="0" applyNumberFormat="1" applyFont="1" applyFill="1" applyAlignment="1">
      <alignment horizontal="center"/>
    </xf>
    <xf numFmtId="165" fontId="19" fillId="0" borderId="0" xfId="1" applyNumberFormat="1" applyFont="1" applyFill="1" applyAlignment="1">
      <alignment horizontal="left"/>
    </xf>
    <xf numFmtId="165" fontId="19" fillId="0" borderId="0" xfId="1" applyNumberFormat="1" applyFont="1" applyFill="1" applyAlignment="1">
      <alignment horizontal="center"/>
    </xf>
    <xf numFmtId="3" fontId="19" fillId="0" borderId="0" xfId="1" applyNumberFormat="1" applyFont="1" applyFill="1" applyBorder="1" applyAlignment="1">
      <alignment horizontal="right" indent="1"/>
    </xf>
    <xf numFmtId="164" fontId="19" fillId="0" borderId="0" xfId="1" applyNumberFormat="1" applyFont="1" applyFill="1" applyBorder="1"/>
    <xf numFmtId="164" fontId="19" fillId="0" borderId="0" xfId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5" fillId="0" borderId="0" xfId="0" applyFont="1" applyFill="1"/>
    <xf numFmtId="169" fontId="19" fillId="0" borderId="0" xfId="1" quotePrefix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center"/>
    </xf>
    <xf numFmtId="164" fontId="19" fillId="0" borderId="0" xfId="1" quotePrefix="1" applyNumberFormat="1" applyFont="1" applyFill="1" applyBorder="1" applyAlignment="1">
      <alignment horizontal="center"/>
    </xf>
    <xf numFmtId="169" fontId="19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9" fillId="0" borderId="0" xfId="0" applyNumberFormat="1" applyFont="1" applyFill="1"/>
    <xf numFmtId="169" fontId="19" fillId="0" borderId="1" xfId="1" applyNumberFormat="1" applyFont="1" applyFill="1" applyBorder="1" applyAlignment="1">
      <alignment horizontal="right" indent="1"/>
    </xf>
    <xf numFmtId="164" fontId="19" fillId="0" borderId="0" xfId="1" applyNumberFormat="1" applyFont="1" applyFill="1"/>
    <xf numFmtId="14" fontId="19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19" fillId="0" borderId="0" xfId="1" applyNumberFormat="1" applyFont="1" applyFill="1" applyAlignment="1">
      <alignment horizontal="right" indent="2"/>
    </xf>
    <xf numFmtId="3" fontId="19" fillId="0" borderId="0" xfId="1" applyNumberFormat="1" applyFont="1" applyFill="1" applyAlignment="1">
      <alignment horizontal="right" indent="1"/>
    </xf>
    <xf numFmtId="3" fontId="19" fillId="0" borderId="0" xfId="1" applyNumberFormat="1" applyFont="1" applyFill="1" applyAlignment="1">
      <alignment horizontal="center"/>
    </xf>
    <xf numFmtId="0" fontId="25" fillId="0" borderId="0" xfId="0" applyFont="1" applyFill="1" applyBorder="1"/>
    <xf numFmtId="169" fontId="19" fillId="0" borderId="0" xfId="1" applyNumberFormat="1" applyFont="1" applyFill="1" applyBorder="1" applyAlignment="1">
      <alignment horizontal="right" indent="2"/>
    </xf>
    <xf numFmtId="169" fontId="19" fillId="0" borderId="1" xfId="1" applyNumberFormat="1" applyFont="1" applyFill="1" applyBorder="1" applyAlignment="1">
      <alignment horizontal="right" indent="2"/>
    </xf>
    <xf numFmtId="0" fontId="21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9" fillId="0" borderId="0" xfId="0" applyNumberFormat="1" applyFont="1" applyFill="1" applyBorder="1"/>
    <xf numFmtId="169" fontId="19" fillId="0" borderId="1" xfId="1" applyNumberFormat="1" applyFont="1" applyFill="1" applyBorder="1" applyAlignment="1">
      <alignment horizontal="center"/>
    </xf>
    <xf numFmtId="165" fontId="19" fillId="0" borderId="1" xfId="1" applyNumberFormat="1" applyFont="1" applyFill="1" applyBorder="1" applyAlignment="1">
      <alignment horizontal="right"/>
    </xf>
    <xf numFmtId="16" fontId="19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right" indent="2"/>
    </xf>
    <xf numFmtId="170" fontId="19" fillId="0" borderId="0" xfId="0" applyNumberFormat="1" applyFont="1" applyFill="1" applyBorder="1"/>
    <xf numFmtId="43" fontId="19" fillId="0" borderId="0" xfId="1" quotePrefix="1" applyNumberFormat="1" applyFont="1" applyFill="1" applyBorder="1" applyAlignment="1">
      <alignment horizontal="center"/>
    </xf>
    <xf numFmtId="166" fontId="19" fillId="0" borderId="0" xfId="1" quotePrefix="1" applyNumberFormat="1" applyFont="1" applyFill="1" applyBorder="1" applyAlignment="1">
      <alignment horizontal="center"/>
    </xf>
    <xf numFmtId="43" fontId="19" fillId="0" borderId="0" xfId="1" quotePrefix="1" applyFont="1" applyFill="1" applyBorder="1" applyAlignment="1">
      <alignment horizontal="center"/>
    </xf>
    <xf numFmtId="43" fontId="19" fillId="0" borderId="0" xfId="1" applyNumberFormat="1" applyFont="1" applyFill="1" applyBorder="1" applyAlignment="1">
      <alignment horizontal="center"/>
    </xf>
    <xf numFmtId="0" fontId="25" fillId="0" borderId="0" xfId="0" quotePrefix="1" applyFont="1" applyFill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indent="1"/>
    </xf>
    <xf numFmtId="0" fontId="19" fillId="0" borderId="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20" fillId="0" borderId="3" xfId="0" quotePrefix="1" applyFont="1" applyFill="1" applyBorder="1" applyAlignment="1"/>
    <xf numFmtId="0" fontId="20" fillId="0" borderId="3" xfId="0" applyFont="1" applyFill="1" applyBorder="1" applyAlignment="1"/>
    <xf numFmtId="43" fontId="19" fillId="0" borderId="0" xfId="1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43" fontId="19" fillId="0" borderId="0" xfId="0" applyNumberFormat="1" applyFont="1" applyFill="1"/>
    <xf numFmtId="0" fontId="14" fillId="0" borderId="0" xfId="0" applyFont="1" applyFill="1"/>
    <xf numFmtId="2" fontId="0" fillId="0" borderId="0" xfId="0" applyNumberFormat="1" applyFill="1"/>
    <xf numFmtId="165" fontId="19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9" fillId="0" borderId="0" xfId="1" applyFont="1" applyFill="1" applyBorder="1" applyAlignment="1">
      <alignment horizontal="center"/>
    </xf>
    <xf numFmtId="43" fontId="0" fillId="0" borderId="0" xfId="1" applyFont="1" applyFill="1"/>
    <xf numFmtId="0" fontId="23" fillId="0" borderId="0" xfId="0" applyFont="1" applyFill="1" applyAlignment="1">
      <alignment vertical="center"/>
    </xf>
    <xf numFmtId="168" fontId="0" fillId="0" borderId="0" xfId="0" applyNumberFormat="1" applyFill="1"/>
    <xf numFmtId="168" fontId="19" fillId="0" borderId="0" xfId="0" applyNumberFormat="1" applyFont="1" applyFill="1"/>
    <xf numFmtId="2" fontId="19" fillId="0" borderId="0" xfId="0" applyNumberFormat="1" applyFont="1" applyFill="1"/>
    <xf numFmtId="43" fontId="0" fillId="0" borderId="0" xfId="1" applyFont="1" applyFill="1" applyBorder="1"/>
    <xf numFmtId="43" fontId="0" fillId="0" borderId="0" xfId="0" applyNumberFormat="1" applyFill="1"/>
    <xf numFmtId="0" fontId="19" fillId="0" borderId="3" xfId="0" applyFont="1" applyFill="1" applyBorder="1"/>
    <xf numFmtId="0" fontId="19" fillId="0" borderId="0" xfId="0" applyFont="1" applyFill="1" applyBorder="1" applyAlignment="1">
      <alignment horizontal="right"/>
    </xf>
    <xf numFmtId="165" fontId="19" fillId="0" borderId="0" xfId="1" applyNumberFormat="1" applyFont="1" applyFill="1"/>
    <xf numFmtId="37" fontId="19" fillId="0" borderId="0" xfId="1" applyNumberFormat="1" applyFont="1" applyFill="1" applyBorder="1" applyAlignment="1">
      <alignment horizontal="center"/>
    </xf>
    <xf numFmtId="37" fontId="19" fillId="0" borderId="0" xfId="1" applyNumberFormat="1" applyFont="1" applyFill="1" applyBorder="1" applyAlignment="1">
      <alignment horizontal="right" indent="2"/>
    </xf>
    <xf numFmtId="165" fontId="19" fillId="0" borderId="0" xfId="1" applyNumberFormat="1" applyFont="1" applyFill="1" applyBorder="1"/>
    <xf numFmtId="37" fontId="19" fillId="0" borderId="0" xfId="1" applyNumberFormat="1" applyFont="1" applyFill="1" applyBorder="1" applyAlignment="1">
      <alignment horizontal="right" indent="1"/>
    </xf>
    <xf numFmtId="37" fontId="19" fillId="0" borderId="1" xfId="1" applyNumberFormat="1" applyFont="1" applyFill="1" applyBorder="1" applyAlignment="1">
      <alignment horizontal="center"/>
    </xf>
    <xf numFmtId="37" fontId="19" fillId="0" borderId="1" xfId="1" applyNumberFormat="1" applyFont="1" applyFill="1" applyBorder="1" applyAlignment="1">
      <alignment horizontal="right" indent="2"/>
    </xf>
    <xf numFmtId="165" fontId="19" fillId="0" borderId="1" xfId="1" applyNumberFormat="1" applyFont="1" applyFill="1" applyBorder="1"/>
    <xf numFmtId="37" fontId="19" fillId="0" borderId="1" xfId="1" applyNumberFormat="1" applyFont="1" applyFill="1" applyBorder="1" applyAlignment="1">
      <alignment horizontal="right" indent="1"/>
    </xf>
    <xf numFmtId="9" fontId="19" fillId="0" borderId="0" xfId="12" applyFont="1" applyFill="1"/>
    <xf numFmtId="1" fontId="19" fillId="0" borderId="0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20" fillId="0" borderId="4" xfId="0" applyFont="1" applyFill="1" applyBorder="1" applyAlignment="1">
      <alignment horizontal="center"/>
    </xf>
    <xf numFmtId="14" fontId="19" fillId="0" borderId="0" xfId="0" applyNumberFormat="1" applyFont="1" applyFill="1" applyAlignment="1">
      <alignment horizontal="right" inden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3" fontId="0" fillId="0" borderId="0" xfId="0" applyNumberFormat="1" applyFill="1"/>
    <xf numFmtId="169" fontId="19" fillId="0" borderId="0" xfId="1" applyNumberFormat="1" applyFont="1" applyFill="1" applyAlignment="1">
      <alignment horizontal="center"/>
    </xf>
    <xf numFmtId="0" fontId="21" fillId="0" borderId="3" xfId="0" applyFont="1" applyFill="1" applyBorder="1"/>
    <xf numFmtId="164" fontId="19" fillId="0" borderId="3" xfId="0" applyNumberFormat="1" applyFont="1" applyFill="1" applyBorder="1"/>
    <xf numFmtId="43" fontId="19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17" fontId="0" fillId="0" borderId="0" xfId="0" applyNumberFormat="1" applyAlignment="1">
      <alignment horizontal="left"/>
    </xf>
    <xf numFmtId="0" fontId="10" fillId="0" borderId="0" xfId="0" applyFont="1" applyAlignment="1"/>
    <xf numFmtId="1" fontId="10" fillId="0" borderId="0" xfId="0" applyNumberFormat="1" applyFont="1" applyAlignment="1"/>
    <xf numFmtId="0" fontId="10" fillId="0" borderId="0" xfId="8" applyFont="1"/>
    <xf numFmtId="0" fontId="10" fillId="0" borderId="0" xfId="8" applyFont="1" applyFill="1"/>
    <xf numFmtId="0" fontId="10" fillId="0" borderId="0" xfId="0" applyFont="1" applyFill="1" applyBorder="1"/>
    <xf numFmtId="0" fontId="10" fillId="0" borderId="0" xfId="0" applyFont="1" applyFill="1"/>
    <xf numFmtId="172" fontId="27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center"/>
    </xf>
    <xf numFmtId="2" fontId="29" fillId="0" borderId="1" xfId="0" applyNumberFormat="1" applyFont="1" applyFill="1" applyBorder="1" applyAlignment="1">
      <alignment horizontal="right" indent="2"/>
    </xf>
    <xf numFmtId="2" fontId="29" fillId="0" borderId="0" xfId="0" applyNumberFormat="1" applyFont="1" applyFill="1" applyBorder="1" applyAlignment="1">
      <alignment horizontal="right" indent="2"/>
    </xf>
    <xf numFmtId="2" fontId="30" fillId="0" borderId="0" xfId="0" applyNumberFormat="1" applyFont="1" applyFill="1" applyBorder="1" applyAlignment="1">
      <alignment horizontal="right" indent="2"/>
    </xf>
    <xf numFmtId="4" fontId="31" fillId="0" borderId="0" xfId="0" applyNumberFormat="1" applyFont="1"/>
    <xf numFmtId="2" fontId="0" fillId="0" borderId="0" xfId="0" applyNumberFormat="1" applyAlignment="1">
      <alignment horizontal="right"/>
    </xf>
    <xf numFmtId="2" fontId="3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3" fontId="0" fillId="0" borderId="0" xfId="0" applyNumberFormat="1" applyAlignment="1">
      <alignment horizontal="right"/>
    </xf>
    <xf numFmtId="173" fontId="32" fillId="0" borderId="0" xfId="0" applyNumberFormat="1" applyFont="1" applyAlignment="1">
      <alignment horizontal="right"/>
    </xf>
    <xf numFmtId="0" fontId="28" fillId="0" borderId="0" xfId="29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wrapText="1"/>
    </xf>
    <xf numFmtId="0" fontId="1" fillId="0" borderId="0" xfId="0" applyFont="1"/>
    <xf numFmtId="41" fontId="1" fillId="0" borderId="0" xfId="0" applyNumberFormat="1" applyFont="1"/>
    <xf numFmtId="41" fontId="19" fillId="0" borderId="0" xfId="0" applyNumberFormat="1" applyFon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74" fontId="14" fillId="0" borderId="0" xfId="12" applyNumberFormat="1" applyFont="1" applyFill="1"/>
    <xf numFmtId="2" fontId="10" fillId="0" borderId="0" xfId="0" applyNumberFormat="1" applyFont="1" applyFill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1" fontId="29" fillId="0" borderId="0" xfId="0" applyNumberFormat="1" applyFont="1"/>
    <xf numFmtId="0" fontId="29" fillId="0" borderId="0" xfId="0" applyFont="1"/>
    <xf numFmtId="0" fontId="33" fillId="0" borderId="1" xfId="29" applyNumberFormat="1" applyFont="1" applyFill="1" applyBorder="1" applyAlignment="1">
      <alignment horizontal="center" wrapText="1"/>
    </xf>
    <xf numFmtId="0" fontId="33" fillId="0" borderId="1" xfId="29" applyFont="1" applyFill="1" applyBorder="1" applyAlignment="1">
      <alignment horizontal="center" wrapText="1"/>
    </xf>
    <xf numFmtId="17" fontId="19" fillId="0" borderId="0" xfId="0" applyNumberFormat="1" applyFont="1" applyFill="1" applyAlignment="1">
      <alignment horizontal="left"/>
    </xf>
    <xf numFmtId="0" fontId="33" fillId="0" borderId="1" xfId="29" applyFont="1" applyFill="1" applyBorder="1" applyAlignment="1">
      <alignment horizontal="center"/>
    </xf>
    <xf numFmtId="41" fontId="0" fillId="0" borderId="0" xfId="0" applyNumberFormat="1"/>
    <xf numFmtId="0" fontId="25" fillId="0" borderId="1" xfId="0" applyFont="1" applyBorder="1"/>
    <xf numFmtId="0" fontId="25" fillId="0" borderId="1" xfId="0" applyFont="1" applyBorder="1" applyAlignment="1">
      <alignment wrapText="1"/>
    </xf>
    <xf numFmtId="3" fontId="29" fillId="0" borderId="0" xfId="0" applyNumberFormat="1" applyFont="1"/>
    <xf numFmtId="3" fontId="19" fillId="0" borderId="0" xfId="0" applyNumberFormat="1" applyFont="1"/>
    <xf numFmtId="0" fontId="19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2" xfId="0" quotePrefix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5" xfId="0" quotePrefix="1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34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2" xr:uid="{5440E113-77DF-4DAD-9026-4858CCB03DB9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BE4D4A"/>
      <color rgb="FF0000FF"/>
      <color rgb="FFFFFF00"/>
      <color rgb="FFB7DEE8"/>
      <color rgb="FFFFCF01"/>
      <color rgb="FF0066FF"/>
      <color rgb="FFD99694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and Brazilian soybean exports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27184169053131E-2"/>
          <c:y val="0.16939601299837517"/>
          <c:w val="0.93865064943805099"/>
          <c:h val="0.6247466462525519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</c:f>
              <c:strCache>
                <c:ptCount val="1"/>
                <c:pt idx="0">
                  <c:v>United States 2020/21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1'!$C$1:$N$1</c:f>
              <c:strCache>
                <c:ptCount val="12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July</c:v>
                </c:pt>
                <c:pt idx="11">
                  <c:v>Aug</c:v>
                </c:pt>
              </c:strCache>
            </c:strRef>
          </c:cat>
          <c:val>
            <c:numRef>
              <c:f>'Figure 1'!$C$2:$N$2</c:f>
              <c:numCache>
                <c:formatCode>#,##0</c:formatCode>
                <c:ptCount val="12"/>
                <c:pt idx="0">
                  <c:v>264.23447091821879</c:v>
                </c:pt>
                <c:pt idx="1">
                  <c:v>427.56467259512539</c:v>
                </c:pt>
                <c:pt idx="2">
                  <c:v>399.30608440667976</c:v>
                </c:pt>
                <c:pt idx="3">
                  <c:v>383.79534805816775</c:v>
                </c:pt>
                <c:pt idx="4">
                  <c:v>319.54313196476244</c:v>
                </c:pt>
                <c:pt idx="5">
                  <c:v>167.50381317690997</c:v>
                </c:pt>
                <c:pt idx="6">
                  <c:v>84.331290598918571</c:v>
                </c:pt>
                <c:pt idx="7">
                  <c:v>50.887260987165448</c:v>
                </c:pt>
                <c:pt idx="8">
                  <c:v>46.542710397949364</c:v>
                </c:pt>
                <c:pt idx="9">
                  <c:v>34.006215728595187</c:v>
                </c:pt>
                <c:pt idx="10">
                  <c:v>34.752366579963166</c:v>
                </c:pt>
                <c:pt idx="11">
                  <c:v>48.085861721415597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91-471F-8BBD-56B78EF8385F}"/>
            </c:ext>
          </c:extLst>
        </c:ser>
        <c:ser>
          <c:idx val="2"/>
          <c:order val="1"/>
          <c:tx>
            <c:strRef>
              <c:f>'Figure 1'!$B$4</c:f>
              <c:strCache>
                <c:ptCount val="1"/>
                <c:pt idx="0">
                  <c:v>United States 2021/22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1'!$C$1:$N$1</c:f>
              <c:strCache>
                <c:ptCount val="12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July</c:v>
                </c:pt>
                <c:pt idx="11">
                  <c:v>Aug</c:v>
                </c:pt>
              </c:strCache>
            </c:strRef>
          </c:cat>
          <c:val>
            <c:numRef>
              <c:f>'Figure 1'!$C$4:$J$4</c:f>
              <c:numCache>
                <c:formatCode>#,##0</c:formatCode>
                <c:ptCount val="8"/>
                <c:pt idx="0">
                  <c:v>79.647165661914912</c:v>
                </c:pt>
                <c:pt idx="1">
                  <c:v>386.06506216102326</c:v>
                </c:pt>
                <c:pt idx="2">
                  <c:v>393.25391397217442</c:v>
                </c:pt>
                <c:pt idx="3">
                  <c:v>297.92088408955675</c:v>
                </c:pt>
                <c:pt idx="4">
                  <c:v>234.86977579449569</c:v>
                </c:pt>
                <c:pt idx="5">
                  <c:v>139.30480124039889</c:v>
                </c:pt>
                <c:pt idx="6">
                  <c:v>117.00743545464157</c:v>
                </c:pt>
                <c:pt idx="7">
                  <c:v>134.3808795010178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91-471F-8BBD-56B78EF8385F}"/>
            </c:ext>
          </c:extLst>
        </c:ser>
        <c:ser>
          <c:idx val="1"/>
          <c:order val="2"/>
          <c:tx>
            <c:strRef>
              <c:f>'Figure 1'!$B$3</c:f>
              <c:strCache>
                <c:ptCount val="1"/>
                <c:pt idx="0">
                  <c:v>Brazil 2020/21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1'!$C$1:$N$1</c:f>
              <c:strCache>
                <c:ptCount val="12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July</c:v>
                </c:pt>
                <c:pt idx="11">
                  <c:v>Aug</c:v>
                </c:pt>
              </c:strCache>
            </c:strRef>
          </c:cat>
          <c:val>
            <c:numRef>
              <c:f>'Figure 1'!$C$3:$N$3</c:f>
              <c:numCache>
                <c:formatCode>#,##0</c:formatCode>
                <c:ptCount val="12"/>
                <c:pt idx="0">
                  <c:v>156.54966434683462</c:v>
                </c:pt>
                <c:pt idx="1">
                  <c:v>88.995250587691302</c:v>
                </c:pt>
                <c:pt idx="2">
                  <c:v>52.739166034191655</c:v>
                </c:pt>
                <c:pt idx="3">
                  <c:v>10.071010077842663</c:v>
                </c:pt>
                <c:pt idx="4">
                  <c:v>1.818629942948333</c:v>
                </c:pt>
                <c:pt idx="5">
                  <c:v>97.211695373879635</c:v>
                </c:pt>
                <c:pt idx="6">
                  <c:v>466.43718857655693</c:v>
                </c:pt>
                <c:pt idx="7">
                  <c:v>592.14884892080386</c:v>
                </c:pt>
                <c:pt idx="8">
                  <c:v>549.84537428951319</c:v>
                </c:pt>
                <c:pt idx="9">
                  <c:v>406.65293049789329</c:v>
                </c:pt>
                <c:pt idx="10">
                  <c:v>318.54309309810424</c:v>
                </c:pt>
                <c:pt idx="11">
                  <c:v>238.23589281872961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91-471F-8BBD-56B78EF8385F}"/>
            </c:ext>
          </c:extLst>
        </c:ser>
        <c:ser>
          <c:idx val="3"/>
          <c:order val="3"/>
          <c:tx>
            <c:strRef>
              <c:f>'Figure 1'!$B$5</c:f>
              <c:strCache>
                <c:ptCount val="1"/>
                <c:pt idx="0">
                  <c:v>Brazil 2021/22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1'!$C$1:$N$1</c:f>
              <c:strCache>
                <c:ptCount val="12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July</c:v>
                </c:pt>
                <c:pt idx="11">
                  <c:v>Aug</c:v>
                </c:pt>
              </c:strCache>
            </c:strRef>
          </c:cat>
          <c:val>
            <c:numRef>
              <c:f>'Figure 1'!$C$5:$J$5</c:f>
              <c:numCache>
                <c:formatCode>#,##0</c:formatCode>
                <c:ptCount val="8"/>
                <c:pt idx="0">
                  <c:v>177.36560089374365</c:v>
                </c:pt>
                <c:pt idx="1">
                  <c:v>120.99321678179197</c:v>
                </c:pt>
                <c:pt idx="2">
                  <c:v>95.052708442113655</c:v>
                </c:pt>
                <c:pt idx="3">
                  <c:v>99.750061114837322</c:v>
                </c:pt>
                <c:pt idx="4">
                  <c:v>90.198349895135635</c:v>
                </c:pt>
                <c:pt idx="5">
                  <c:v>230.59863913852561</c:v>
                </c:pt>
                <c:pt idx="6">
                  <c:v>447.92640544111993</c:v>
                </c:pt>
                <c:pt idx="7">
                  <c:v>422.04869210240128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91-471F-8BBD-56B78EF83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49812504206204999"/>
              <c:y val="0.84367969628796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bushels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9.9194111152772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606837606837608"/>
          <c:y val="9.727195558888474E-2"/>
          <c:w val="0.72905982905982902"/>
          <c:h val="7.9198173145023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soybean crop progress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921968472072702E-2"/>
          <c:y val="0.18389545056867887"/>
          <c:w val="0.93865064943805099"/>
          <c:h val="0.5156195319335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50"/>
            </a:solidFill>
            <a:ln w="31750">
              <a:noFill/>
            </a:ln>
            <a:effectLst/>
          </c:spPr>
          <c:invertIfNegative val="0"/>
          <c:cat>
            <c:multiLvlStrRef>
              <c:f>'Figure 2'!$A$2:$B$28</c:f>
              <c:multiLvlStrCache>
                <c:ptCount val="27"/>
                <c:lvl>
                  <c:pt idx="0">
                    <c:v>Week 15</c:v>
                  </c:pt>
                  <c:pt idx="1">
                    <c:v>Week 16</c:v>
                  </c:pt>
                  <c:pt idx="2">
                    <c:v>Week 17</c:v>
                  </c:pt>
                  <c:pt idx="3">
                    <c:v>Week 18</c:v>
                  </c:pt>
                  <c:pt idx="4">
                    <c:v>Week 19</c:v>
                  </c:pt>
                  <c:pt idx="5">
                    <c:v>Week 20</c:v>
                  </c:pt>
                  <c:pt idx="6">
                    <c:v>Week 21</c:v>
                  </c:pt>
                  <c:pt idx="7">
                    <c:v>Week 22</c:v>
                  </c:pt>
                  <c:pt idx="8">
                    <c:v>Week 23</c:v>
                  </c:pt>
                  <c:pt idx="9">
                    <c:v>Week 15</c:v>
                  </c:pt>
                  <c:pt idx="10">
                    <c:v>Week 16</c:v>
                  </c:pt>
                  <c:pt idx="11">
                    <c:v>Week 17</c:v>
                  </c:pt>
                  <c:pt idx="12">
                    <c:v>Week 18</c:v>
                  </c:pt>
                  <c:pt idx="13">
                    <c:v>Week 19</c:v>
                  </c:pt>
                  <c:pt idx="14">
                    <c:v>Week 20</c:v>
                  </c:pt>
                  <c:pt idx="15">
                    <c:v>Week 21</c:v>
                  </c:pt>
                  <c:pt idx="16">
                    <c:v>Week 22</c:v>
                  </c:pt>
                  <c:pt idx="17">
                    <c:v>Week 23</c:v>
                  </c:pt>
                  <c:pt idx="18">
                    <c:v>Week 15</c:v>
                  </c:pt>
                  <c:pt idx="19">
                    <c:v>Week 16</c:v>
                  </c:pt>
                  <c:pt idx="20">
                    <c:v>Week 17</c:v>
                  </c:pt>
                  <c:pt idx="21">
                    <c:v>Week 18</c:v>
                  </c:pt>
                  <c:pt idx="22">
                    <c:v>Week 19</c:v>
                  </c:pt>
                  <c:pt idx="23">
                    <c:v>Week 20</c:v>
                  </c:pt>
                  <c:pt idx="24">
                    <c:v>Week 21</c:v>
                  </c:pt>
                  <c:pt idx="25">
                    <c:v>Week 22</c:v>
                  </c:pt>
                  <c:pt idx="26">
                    <c:v>Week 23</c:v>
                  </c:pt>
                </c:lvl>
                <c:lvl>
                  <c:pt idx="0">
                    <c:v>Minnesota</c:v>
                  </c:pt>
                  <c:pt idx="9">
                    <c:v>North Dakota</c:v>
                  </c:pt>
                  <c:pt idx="18">
                    <c:v>United States</c:v>
                  </c:pt>
                </c:lvl>
              </c:multiLvlStrCache>
            </c:multiLvlStrRef>
          </c:cat>
          <c:val>
            <c:numRef>
              <c:f>'Figure 2'!$C$2:$C$28</c:f>
              <c:numCache>
                <c:formatCode>#,##0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23</c:v>
                </c:pt>
                <c:pt idx="3">
                  <c:v>65</c:v>
                </c:pt>
                <c:pt idx="4">
                  <c:v>88</c:v>
                </c:pt>
                <c:pt idx="5">
                  <c:v>97</c:v>
                </c:pt>
                <c:pt idx="6">
                  <c:v>99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17</c:v>
                </c:pt>
                <c:pt idx="13">
                  <c:v>53</c:v>
                </c:pt>
                <c:pt idx="14">
                  <c:v>75</c:v>
                </c:pt>
                <c:pt idx="15">
                  <c:v>88</c:v>
                </c:pt>
                <c:pt idx="16">
                  <c:v>95</c:v>
                </c:pt>
                <c:pt idx="17">
                  <c:v>97</c:v>
                </c:pt>
                <c:pt idx="18">
                  <c:v>3</c:v>
                </c:pt>
                <c:pt idx="19">
                  <c:v>8</c:v>
                </c:pt>
                <c:pt idx="20">
                  <c:v>24</c:v>
                </c:pt>
                <c:pt idx="21">
                  <c:v>42</c:v>
                </c:pt>
                <c:pt idx="22">
                  <c:v>61</c:v>
                </c:pt>
                <c:pt idx="23">
                  <c:v>75</c:v>
                </c:pt>
                <c:pt idx="24">
                  <c:v>84</c:v>
                </c:pt>
                <c:pt idx="25">
                  <c:v>90</c:v>
                </c:pt>
                <c:pt idx="2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9-464A-A0FC-5A7EC8B68FE2}"/>
            </c:ext>
          </c:extLst>
        </c:ser>
        <c:ser>
          <c:idx val="1"/>
          <c:order val="1"/>
          <c:tx>
            <c:strRef>
              <c:f>'Figure 2'!$D$1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'Figure 2'!$A$2:$B$28</c:f>
              <c:multiLvlStrCache>
                <c:ptCount val="27"/>
                <c:lvl>
                  <c:pt idx="0">
                    <c:v>Week 15</c:v>
                  </c:pt>
                  <c:pt idx="1">
                    <c:v>Week 16</c:v>
                  </c:pt>
                  <c:pt idx="2">
                    <c:v>Week 17</c:v>
                  </c:pt>
                  <c:pt idx="3">
                    <c:v>Week 18</c:v>
                  </c:pt>
                  <c:pt idx="4">
                    <c:v>Week 19</c:v>
                  </c:pt>
                  <c:pt idx="5">
                    <c:v>Week 20</c:v>
                  </c:pt>
                  <c:pt idx="6">
                    <c:v>Week 21</c:v>
                  </c:pt>
                  <c:pt idx="7">
                    <c:v>Week 22</c:v>
                  </c:pt>
                  <c:pt idx="8">
                    <c:v>Week 23</c:v>
                  </c:pt>
                  <c:pt idx="9">
                    <c:v>Week 15</c:v>
                  </c:pt>
                  <c:pt idx="10">
                    <c:v>Week 16</c:v>
                  </c:pt>
                  <c:pt idx="11">
                    <c:v>Week 17</c:v>
                  </c:pt>
                  <c:pt idx="12">
                    <c:v>Week 18</c:v>
                  </c:pt>
                  <c:pt idx="13">
                    <c:v>Week 19</c:v>
                  </c:pt>
                  <c:pt idx="14">
                    <c:v>Week 20</c:v>
                  </c:pt>
                  <c:pt idx="15">
                    <c:v>Week 21</c:v>
                  </c:pt>
                  <c:pt idx="16">
                    <c:v>Week 22</c:v>
                  </c:pt>
                  <c:pt idx="17">
                    <c:v>Week 23</c:v>
                  </c:pt>
                  <c:pt idx="18">
                    <c:v>Week 15</c:v>
                  </c:pt>
                  <c:pt idx="19">
                    <c:v>Week 16</c:v>
                  </c:pt>
                  <c:pt idx="20">
                    <c:v>Week 17</c:v>
                  </c:pt>
                  <c:pt idx="21">
                    <c:v>Week 18</c:v>
                  </c:pt>
                  <c:pt idx="22">
                    <c:v>Week 19</c:v>
                  </c:pt>
                  <c:pt idx="23">
                    <c:v>Week 20</c:v>
                  </c:pt>
                  <c:pt idx="24">
                    <c:v>Week 21</c:v>
                  </c:pt>
                  <c:pt idx="25">
                    <c:v>Week 22</c:v>
                  </c:pt>
                  <c:pt idx="26">
                    <c:v>Week 23</c:v>
                  </c:pt>
                </c:lvl>
                <c:lvl>
                  <c:pt idx="0">
                    <c:v>Minnesota</c:v>
                  </c:pt>
                  <c:pt idx="9">
                    <c:v>North Dakota</c:v>
                  </c:pt>
                  <c:pt idx="18">
                    <c:v>United States</c:v>
                  </c:pt>
                </c:lvl>
              </c:multiLvlStrCache>
            </c:multiLvlStrRef>
          </c:cat>
          <c:val>
            <c:numRef>
              <c:f>'Figure 2'!$D$2:$D$28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11</c:v>
                </c:pt>
                <c:pt idx="5">
                  <c:v>32</c:v>
                </c:pt>
                <c:pt idx="6">
                  <c:v>55</c:v>
                </c:pt>
                <c:pt idx="7">
                  <c:v>72</c:v>
                </c:pt>
                <c:pt idx="8">
                  <c:v>88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7</c:v>
                </c:pt>
                <c:pt idx="15">
                  <c:v>23</c:v>
                </c:pt>
                <c:pt idx="16">
                  <c:v>41</c:v>
                </c:pt>
                <c:pt idx="17">
                  <c:v>75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12</c:v>
                </c:pt>
                <c:pt idx="22">
                  <c:v>30</c:v>
                </c:pt>
                <c:pt idx="23">
                  <c:v>50</c:v>
                </c:pt>
                <c:pt idx="24">
                  <c:v>66</c:v>
                </c:pt>
                <c:pt idx="25">
                  <c:v>78</c:v>
                </c:pt>
                <c:pt idx="2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64A-A0FC-5A7EC8B68FE2}"/>
            </c:ext>
          </c:extLst>
        </c:ser>
        <c:ser>
          <c:idx val="2"/>
          <c:order val="2"/>
          <c:tx>
            <c:strRef>
              <c:f>'Figure 2'!$E$1</c:f>
              <c:strCache>
                <c:ptCount val="1"/>
                <c:pt idx="0">
                  <c:v>2017–2021 average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multiLvlStrRef>
              <c:f>'Figure 2'!$A$2:$B$28</c:f>
              <c:multiLvlStrCache>
                <c:ptCount val="27"/>
                <c:lvl>
                  <c:pt idx="0">
                    <c:v>Week 15</c:v>
                  </c:pt>
                  <c:pt idx="1">
                    <c:v>Week 16</c:v>
                  </c:pt>
                  <c:pt idx="2">
                    <c:v>Week 17</c:v>
                  </c:pt>
                  <c:pt idx="3">
                    <c:v>Week 18</c:v>
                  </c:pt>
                  <c:pt idx="4">
                    <c:v>Week 19</c:v>
                  </c:pt>
                  <c:pt idx="5">
                    <c:v>Week 20</c:v>
                  </c:pt>
                  <c:pt idx="6">
                    <c:v>Week 21</c:v>
                  </c:pt>
                  <c:pt idx="7">
                    <c:v>Week 22</c:v>
                  </c:pt>
                  <c:pt idx="8">
                    <c:v>Week 23</c:v>
                  </c:pt>
                  <c:pt idx="9">
                    <c:v>Week 15</c:v>
                  </c:pt>
                  <c:pt idx="10">
                    <c:v>Week 16</c:v>
                  </c:pt>
                  <c:pt idx="11">
                    <c:v>Week 17</c:v>
                  </c:pt>
                  <c:pt idx="12">
                    <c:v>Week 18</c:v>
                  </c:pt>
                  <c:pt idx="13">
                    <c:v>Week 19</c:v>
                  </c:pt>
                  <c:pt idx="14">
                    <c:v>Week 20</c:v>
                  </c:pt>
                  <c:pt idx="15">
                    <c:v>Week 21</c:v>
                  </c:pt>
                  <c:pt idx="16">
                    <c:v>Week 22</c:v>
                  </c:pt>
                  <c:pt idx="17">
                    <c:v>Week 23</c:v>
                  </c:pt>
                  <c:pt idx="18">
                    <c:v>Week 15</c:v>
                  </c:pt>
                  <c:pt idx="19">
                    <c:v>Week 16</c:v>
                  </c:pt>
                  <c:pt idx="20">
                    <c:v>Week 17</c:v>
                  </c:pt>
                  <c:pt idx="21">
                    <c:v>Week 18</c:v>
                  </c:pt>
                  <c:pt idx="22">
                    <c:v>Week 19</c:v>
                  </c:pt>
                  <c:pt idx="23">
                    <c:v>Week 20</c:v>
                  </c:pt>
                  <c:pt idx="24">
                    <c:v>Week 21</c:v>
                  </c:pt>
                  <c:pt idx="25">
                    <c:v>Week 22</c:v>
                  </c:pt>
                  <c:pt idx="26">
                    <c:v>Week 23</c:v>
                  </c:pt>
                </c:lvl>
                <c:lvl>
                  <c:pt idx="0">
                    <c:v>Minnesota</c:v>
                  </c:pt>
                  <c:pt idx="9">
                    <c:v>North Dakota</c:v>
                  </c:pt>
                  <c:pt idx="18">
                    <c:v>United States</c:v>
                  </c:pt>
                </c:lvl>
              </c:multiLvlStrCache>
            </c:multiLvlStrRef>
          </c:cat>
          <c:val>
            <c:numRef>
              <c:f>'Figure 2'!$E$2:$E$28</c:f>
              <c:numCache>
                <c:formatCode>#,##0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25</c:v>
                </c:pt>
                <c:pt idx="4">
                  <c:v>47</c:v>
                </c:pt>
                <c:pt idx="5">
                  <c:v>68</c:v>
                </c:pt>
                <c:pt idx="6">
                  <c:v>80</c:v>
                </c:pt>
                <c:pt idx="7">
                  <c:v>90</c:v>
                </c:pt>
                <c:pt idx="8">
                  <c:v>96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24</c:v>
                </c:pt>
                <c:pt idx="14">
                  <c:v>47</c:v>
                </c:pt>
                <c:pt idx="15">
                  <c:v>70</c:v>
                </c:pt>
                <c:pt idx="16">
                  <c:v>85</c:v>
                </c:pt>
                <c:pt idx="17">
                  <c:v>94</c:v>
                </c:pt>
                <c:pt idx="18">
                  <c:v>2</c:v>
                </c:pt>
                <c:pt idx="19">
                  <c:v>5</c:v>
                </c:pt>
                <c:pt idx="20">
                  <c:v>13</c:v>
                </c:pt>
                <c:pt idx="21">
                  <c:v>24</c:v>
                </c:pt>
                <c:pt idx="22">
                  <c:v>39</c:v>
                </c:pt>
                <c:pt idx="23">
                  <c:v>55</c:v>
                </c:pt>
                <c:pt idx="24">
                  <c:v>67</c:v>
                </c:pt>
                <c:pt idx="25">
                  <c:v>79</c:v>
                </c:pt>
                <c:pt idx="2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B-42F4-AD2E-99DCD66B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catAx>
        <c:axId val="12844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1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planted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0.10779199475065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38064472710142"/>
          <c:y val="0.10907999781277339"/>
          <c:w val="0.35942696819523107"/>
          <c:h val="6.1819874259903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Ukrainian sunflowerseed supply and demand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6.1295981963031838E-3"/>
          <c:y val="1.205511112255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98066356652612E-2"/>
          <c:y val="0.18371271187668065"/>
          <c:w val="0.90740947440465147"/>
          <c:h val="0.52107325103675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3'!$C$1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'Figure 3'!$A$2:$A$14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2022/23*May</c:v>
                </c:pt>
                <c:pt idx="12">
                  <c:v>2022/23*June</c:v>
                </c:pt>
              </c:strCache>
            </c:strRef>
          </c:cat>
          <c:val>
            <c:numRef>
              <c:f>'Figure 3'!$C$2:$C$14</c:f>
              <c:numCache>
                <c:formatCode>#,##0</c:formatCode>
                <c:ptCount val="13"/>
                <c:pt idx="0">
                  <c:v>9800</c:v>
                </c:pt>
                <c:pt idx="1">
                  <c:v>9000</c:v>
                </c:pt>
                <c:pt idx="2">
                  <c:v>11600</c:v>
                </c:pt>
                <c:pt idx="3">
                  <c:v>10200</c:v>
                </c:pt>
                <c:pt idx="4">
                  <c:v>11900</c:v>
                </c:pt>
                <c:pt idx="5">
                  <c:v>15200</c:v>
                </c:pt>
                <c:pt idx="6">
                  <c:v>13700</c:v>
                </c:pt>
                <c:pt idx="7">
                  <c:v>15000</c:v>
                </c:pt>
                <c:pt idx="8">
                  <c:v>16500</c:v>
                </c:pt>
                <c:pt idx="9">
                  <c:v>14100</c:v>
                </c:pt>
                <c:pt idx="10">
                  <c:v>17500</c:v>
                </c:pt>
                <c:pt idx="11">
                  <c:v>11000</c:v>
                </c:pt>
                <c:pt idx="12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F-4B8A-BE8E-AD3927C3C993}"/>
            </c:ext>
          </c:extLst>
        </c:ser>
        <c:ser>
          <c:idx val="1"/>
          <c:order val="1"/>
          <c:tx>
            <c:strRef>
              <c:f>'Figure 3'!$B$1</c:f>
              <c:strCache>
                <c:ptCount val="1"/>
                <c:pt idx="0">
                  <c:v>Beginning stocks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'Figure 3'!$A$2:$A$14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2022/23*May</c:v>
                </c:pt>
                <c:pt idx="12">
                  <c:v>2022/23*June</c:v>
                </c:pt>
              </c:strCache>
            </c:strRef>
          </c:cat>
          <c:val>
            <c:numRef>
              <c:f>'Figure 3'!$B$2:$B$14</c:f>
              <c:numCache>
                <c:formatCode>#,##0</c:formatCode>
                <c:ptCount val="13"/>
                <c:pt idx="0">
                  <c:v>146</c:v>
                </c:pt>
                <c:pt idx="1">
                  <c:v>151</c:v>
                </c:pt>
                <c:pt idx="2">
                  <c:v>314</c:v>
                </c:pt>
                <c:pt idx="3">
                  <c:v>449</c:v>
                </c:pt>
                <c:pt idx="4">
                  <c:v>149</c:v>
                </c:pt>
                <c:pt idx="5">
                  <c:v>168</c:v>
                </c:pt>
                <c:pt idx="6">
                  <c:v>421</c:v>
                </c:pt>
                <c:pt idx="7">
                  <c:v>172</c:v>
                </c:pt>
                <c:pt idx="8">
                  <c:v>140</c:v>
                </c:pt>
                <c:pt idx="9">
                  <c:v>58</c:v>
                </c:pt>
                <c:pt idx="10">
                  <c:v>141</c:v>
                </c:pt>
                <c:pt idx="11">
                  <c:v>4551</c:v>
                </c:pt>
                <c:pt idx="12">
                  <c:v>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F-4B8A-BE8E-AD3927C3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3"/>
          <c:order val="3"/>
          <c:tx>
            <c:strRef>
              <c:f>'Figure 3'!$E$1</c:f>
              <c:strCache>
                <c:ptCount val="1"/>
                <c:pt idx="0">
                  <c:v>Crush</c:v>
                </c:pt>
              </c:strCache>
            </c:strRef>
          </c:tx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2022/23*May</c:v>
                </c:pt>
                <c:pt idx="12">
                  <c:v>2022/23*June</c:v>
                </c:pt>
              </c:strCache>
            </c:strRef>
          </c:cat>
          <c:val>
            <c:numRef>
              <c:f>'Figure 3'!$E$2:$E$14</c:f>
              <c:numCache>
                <c:formatCode>#,##0</c:formatCode>
                <c:ptCount val="13"/>
                <c:pt idx="0">
                  <c:v>9400</c:v>
                </c:pt>
                <c:pt idx="1">
                  <c:v>8600</c:v>
                </c:pt>
                <c:pt idx="2">
                  <c:v>11250</c:v>
                </c:pt>
                <c:pt idx="3">
                  <c:v>10300</c:v>
                </c:pt>
                <c:pt idx="4">
                  <c:v>11650</c:v>
                </c:pt>
                <c:pt idx="5">
                  <c:v>14600</c:v>
                </c:pt>
                <c:pt idx="6">
                  <c:v>13750</c:v>
                </c:pt>
                <c:pt idx="7">
                  <c:v>14800</c:v>
                </c:pt>
                <c:pt idx="8">
                  <c:v>16425</c:v>
                </c:pt>
                <c:pt idx="9">
                  <c:v>13750</c:v>
                </c:pt>
                <c:pt idx="10">
                  <c:v>10500</c:v>
                </c:pt>
                <c:pt idx="11">
                  <c:v>9750</c:v>
                </c:pt>
                <c:pt idx="12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C-4B73-84E0-6B26CB9E4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lineChart>
        <c:grouping val="standard"/>
        <c:varyColors val="0"/>
        <c:ser>
          <c:idx val="0"/>
          <c:order val="2"/>
          <c:tx>
            <c:strRef>
              <c:f>'Figure 3'!$D$1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2022/23*May</c:v>
                </c:pt>
                <c:pt idx="12">
                  <c:v>2022/23*June</c:v>
                </c:pt>
              </c:strCache>
            </c:strRef>
          </c:cat>
          <c:val>
            <c:numRef>
              <c:f>'Figure 3'!$D$2:$D$14</c:f>
              <c:numCache>
                <c:formatCode>#,##0</c:formatCode>
                <c:ptCount val="13"/>
                <c:pt idx="0">
                  <c:v>282</c:v>
                </c:pt>
                <c:pt idx="1">
                  <c:v>127</c:v>
                </c:pt>
                <c:pt idx="2">
                  <c:v>70</c:v>
                </c:pt>
                <c:pt idx="3">
                  <c:v>45</c:v>
                </c:pt>
                <c:pt idx="4">
                  <c:v>83</c:v>
                </c:pt>
                <c:pt idx="5">
                  <c:v>191</c:v>
                </c:pt>
                <c:pt idx="6">
                  <c:v>39</c:v>
                </c:pt>
                <c:pt idx="7">
                  <c:v>105</c:v>
                </c:pt>
                <c:pt idx="8">
                  <c:v>53</c:v>
                </c:pt>
                <c:pt idx="9">
                  <c:v>191</c:v>
                </c:pt>
                <c:pt idx="10">
                  <c:v>1000</c:v>
                </c:pt>
                <c:pt idx="11">
                  <c:v>750</c:v>
                </c:pt>
                <c:pt idx="12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F-4B8A-BE8E-AD3927C3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446736"/>
        <c:axId val="83544715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91487443"/>
              <c:y val="0.849015481296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At val="0"/>
        <c:auto val="1"/>
        <c:lblAlgn val="ctr"/>
        <c:lblOffset val="100"/>
        <c:noMultiLvlLbl val="1"/>
      </c:catAx>
      <c:valAx>
        <c:axId val="667170632"/>
        <c:scaling>
          <c:orientation val="minMax"/>
          <c:max val="2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Exports, thousand metric tons</a:t>
                </a:r>
              </a:p>
            </c:rich>
          </c:tx>
          <c:layout>
            <c:manualLayout>
              <c:xMode val="edge"/>
              <c:yMode val="edge"/>
              <c:x val="0.82585810301726936"/>
              <c:y val="8.59664593668198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83544715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Thousand metric tons</a:t>
                </a:r>
              </a:p>
            </c:rich>
          </c:tx>
          <c:layout>
            <c:manualLayout>
              <c:xMode val="edge"/>
              <c:yMode val="edge"/>
              <c:x val="8.587267293039873E-4"/>
              <c:y val="0.12010547477702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5446736"/>
        <c:crosses val="max"/>
        <c:crossBetween val="between"/>
      </c:valAx>
      <c:catAx>
        <c:axId val="83544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447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000908885084679"/>
          <c:y val="0.13739711810856561"/>
          <c:w val="0.70790050674407279"/>
          <c:h val="7.2377400241261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Major vegetable oils imported by China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7569859110841651E-3"/>
          <c:y val="2.663944529630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95821436971586E-2"/>
          <c:y val="0.1994356281121718"/>
          <c:w val="0.92427234708986139"/>
          <c:h val="0.543454818281808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4'!$B$1</c:f>
              <c:strCache>
                <c:ptCount val="1"/>
                <c:pt idx="0">
                  <c:v>Palm oil</c:v>
                </c:pt>
              </c:strCache>
            </c:strRef>
          </c:tx>
          <c:spPr>
            <a:solidFill>
              <a:srgbClr val="BE4D4A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4'!$A$2:$A$9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2021/22* May</c:v>
                </c:pt>
                <c:pt idx="7">
                  <c:v>2021/22* June</c:v>
                </c:pt>
              </c:strCache>
            </c:strRef>
          </c:cat>
          <c:val>
            <c:numRef>
              <c:f>'Figure 4'!$B$2:$B$9</c:f>
              <c:numCache>
                <c:formatCode>#,##0</c:formatCode>
                <c:ptCount val="8"/>
                <c:pt idx="0">
                  <c:v>4689</c:v>
                </c:pt>
                <c:pt idx="1">
                  <c:v>4881</c:v>
                </c:pt>
                <c:pt idx="2">
                  <c:v>5320</c:v>
                </c:pt>
                <c:pt idx="3">
                  <c:v>6795</c:v>
                </c:pt>
                <c:pt idx="4">
                  <c:v>6719</c:v>
                </c:pt>
                <c:pt idx="5">
                  <c:v>6818</c:v>
                </c:pt>
                <c:pt idx="6">
                  <c:v>5000</c:v>
                </c:pt>
                <c:pt idx="7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E-4C81-95E2-798993075E44}"/>
            </c:ext>
          </c:extLst>
        </c:ser>
        <c:ser>
          <c:idx val="0"/>
          <c:order val="1"/>
          <c:tx>
            <c:strRef>
              <c:f>'Figure 4'!$D$1</c:f>
              <c:strCache>
                <c:ptCount val="1"/>
                <c:pt idx="0">
                  <c:v>Canola oil 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dLbls>
            <c:delete val="1"/>
          </c:dLbls>
          <c:cat>
            <c:strRef>
              <c:f>'Figure 4'!$A$2:$A$9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2021/22* May</c:v>
                </c:pt>
                <c:pt idx="7">
                  <c:v>2021/22* June</c:v>
                </c:pt>
              </c:strCache>
            </c:strRef>
          </c:cat>
          <c:val>
            <c:numRef>
              <c:f>'Figure 4'!$D$2:$D$9</c:f>
              <c:numCache>
                <c:formatCode>#,##0</c:formatCode>
                <c:ptCount val="8"/>
                <c:pt idx="0">
                  <c:v>768</c:v>
                </c:pt>
                <c:pt idx="1">
                  <c:v>802</c:v>
                </c:pt>
                <c:pt idx="2">
                  <c:v>1067</c:v>
                </c:pt>
                <c:pt idx="3">
                  <c:v>1507</c:v>
                </c:pt>
                <c:pt idx="4">
                  <c:v>1940</c:v>
                </c:pt>
                <c:pt idx="5">
                  <c:v>2365</c:v>
                </c:pt>
                <c:pt idx="6">
                  <c:v>1500</c:v>
                </c:pt>
                <c:pt idx="7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E-4C81-95E2-798993075E44}"/>
            </c:ext>
          </c:extLst>
        </c:ser>
        <c:ser>
          <c:idx val="3"/>
          <c:order val="2"/>
          <c:tx>
            <c:strRef>
              <c:f>'Figure 4'!$C$1</c:f>
              <c:strCache>
                <c:ptCount val="1"/>
                <c:pt idx="0">
                  <c:v>Soybean oil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4'!$A$2:$A$9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2021/22* May</c:v>
                </c:pt>
                <c:pt idx="7">
                  <c:v>2021/22* June</c:v>
                </c:pt>
              </c:strCache>
            </c:strRef>
          </c:cat>
          <c:val>
            <c:numRef>
              <c:f>'Figure 4'!$C$2:$C$9</c:f>
              <c:numCache>
                <c:formatCode>#,##0</c:formatCode>
                <c:ptCount val="8"/>
                <c:pt idx="0">
                  <c:v>586</c:v>
                </c:pt>
                <c:pt idx="1">
                  <c:v>711</c:v>
                </c:pt>
                <c:pt idx="2">
                  <c:v>481</c:v>
                </c:pt>
                <c:pt idx="3">
                  <c:v>783</c:v>
                </c:pt>
                <c:pt idx="4">
                  <c:v>1000</c:v>
                </c:pt>
                <c:pt idx="5">
                  <c:v>1231</c:v>
                </c:pt>
                <c:pt idx="6">
                  <c:v>950</c:v>
                </c:pt>
                <c:pt idx="7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DE-4C81-95E2-798993075E44}"/>
            </c:ext>
          </c:extLst>
        </c:ser>
        <c:ser>
          <c:idx val="4"/>
          <c:order val="3"/>
          <c:tx>
            <c:strRef>
              <c:f>'Figure 4'!$E$1</c:f>
              <c:strCache>
                <c:ptCount val="1"/>
                <c:pt idx="0">
                  <c:v>Sunflower oil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4'!$A$2:$A$9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2021/22* May</c:v>
                </c:pt>
                <c:pt idx="7">
                  <c:v>2021/22* June</c:v>
                </c:pt>
              </c:strCache>
            </c:strRef>
          </c:cat>
          <c:val>
            <c:numRef>
              <c:f>'Figure 4'!$E$2:$E$9</c:f>
              <c:numCache>
                <c:formatCode>#,##0</c:formatCode>
                <c:ptCount val="8"/>
                <c:pt idx="0">
                  <c:v>878</c:v>
                </c:pt>
                <c:pt idx="1">
                  <c:v>725</c:v>
                </c:pt>
                <c:pt idx="2">
                  <c:v>785</c:v>
                </c:pt>
                <c:pt idx="3">
                  <c:v>1032</c:v>
                </c:pt>
                <c:pt idx="4">
                  <c:v>1749</c:v>
                </c:pt>
                <c:pt idx="5">
                  <c:v>1640</c:v>
                </c:pt>
                <c:pt idx="6">
                  <c:v>1500</c:v>
                </c:pt>
                <c:pt idx="7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DE-4C81-95E2-798993075E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2290986886"/>
              <c:y val="0.857562420082105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ax val="125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</a:t>
                </a:r>
              </a:p>
            </c:rich>
          </c:tx>
          <c:layout>
            <c:manualLayout>
              <c:xMode val="edge"/>
              <c:yMode val="edge"/>
              <c:x val="4.1715972546486121E-3"/>
              <c:y val="0.12257566873289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125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723354286360686"/>
          <c:y val="0.12221148175325432"/>
          <c:w val="0.77930742642063355"/>
          <c:h val="4.6522689684364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182562</xdr:colOff>
      <xdr:row>5</xdr:row>
      <xdr:rowOff>92605</xdr:rowOff>
    </xdr:from>
    <xdr:to>
      <xdr:col>8</xdr:col>
      <xdr:colOff>395599</xdr:colOff>
      <xdr:row>25</xdr:row>
      <xdr:rowOff>123085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E4EC437-B684-4917-AB04-6A2D45F82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0.90052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458415"/>
          <a:ext cx="5943600" cy="3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Global Agricultural Trade System;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Trade Data Monitor.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265907</xdr:colOff>
      <xdr:row>0</xdr:row>
      <xdr:rowOff>70114</xdr:rowOff>
    </xdr:from>
    <xdr:to>
      <xdr:col>15</xdr:col>
      <xdr:colOff>137320</xdr:colOff>
      <xdr:row>17</xdr:row>
      <xdr:rowOff>97630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07C998-5F32-4F06-AC45-8ADF5A597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0.93699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4071938"/>
          <a:ext cx="5943600" cy="27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National Agricultural Statistics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Crop Progress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600078</xdr:colOff>
      <xdr:row>0</xdr:row>
      <xdr:rowOff>84669</xdr:rowOff>
    </xdr:from>
    <xdr:to>
      <xdr:col>15</xdr:col>
      <xdr:colOff>474135</xdr:colOff>
      <xdr:row>23</xdr:row>
      <xdr:rowOff>14227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DA4AF7-5A59-4E00-965C-C398E21C8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0.87229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70250"/>
          <a:ext cx="6126480" cy="456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June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335495</xdr:colOff>
      <xdr:row>0</xdr:row>
      <xdr:rowOff>67734</xdr:rowOff>
    </xdr:from>
    <xdr:to>
      <xdr:col>15</xdr:col>
      <xdr:colOff>234953</xdr:colOff>
      <xdr:row>24</xdr:row>
      <xdr:rowOff>91017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BC5B393E-81DB-4692-AEFE-150EE8939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0.88462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943349"/>
          <a:ext cx="6037791" cy="487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June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7109375" defaultRowHeight="14.25" x14ac:dyDescent="0.2"/>
  <cols>
    <col min="1" max="1" width="166.85546875" style="13" customWidth="1"/>
    <col min="2" max="16384" width="9.7109375" style="1"/>
  </cols>
  <sheetData>
    <row r="1" spans="1:3" ht="15" x14ac:dyDescent="0.25">
      <c r="A1" s="8" t="s">
        <v>0</v>
      </c>
      <c r="B1" s="124"/>
      <c r="C1" s="124"/>
    </row>
    <row r="2" spans="1:3" s="2" customFormat="1" x14ac:dyDescent="0.2">
      <c r="A2" s="9"/>
    </row>
    <row r="3" spans="1:3" x14ac:dyDescent="0.2">
      <c r="A3" s="11" t="s">
        <v>1</v>
      </c>
      <c r="B3" s="3"/>
      <c r="C3" s="2"/>
    </row>
    <row r="4" spans="1:3" x14ac:dyDescent="0.2">
      <c r="A4" s="11" t="s">
        <v>2</v>
      </c>
      <c r="B4" s="4"/>
      <c r="C4" s="124"/>
    </row>
    <row r="5" spans="1:3" x14ac:dyDescent="0.2">
      <c r="A5" s="11" t="s">
        <v>3</v>
      </c>
      <c r="B5" s="4"/>
      <c r="C5" s="124"/>
    </row>
    <row r="6" spans="1:3" x14ac:dyDescent="0.2">
      <c r="A6" s="11" t="s">
        <v>4</v>
      </c>
      <c r="B6" s="4"/>
      <c r="C6" s="124"/>
    </row>
    <row r="7" spans="1:3" x14ac:dyDescent="0.2">
      <c r="A7" s="11" t="s">
        <v>5</v>
      </c>
      <c r="B7" s="4"/>
      <c r="C7" s="124"/>
    </row>
    <row r="8" spans="1:3" x14ac:dyDescent="0.2">
      <c r="A8" s="11" t="s">
        <v>6</v>
      </c>
      <c r="B8" s="4"/>
      <c r="C8" s="124"/>
    </row>
    <row r="9" spans="1:3" x14ac:dyDescent="0.2">
      <c r="A9" s="11" t="s">
        <v>7</v>
      </c>
      <c r="B9" s="4"/>
      <c r="C9" s="124"/>
    </row>
    <row r="10" spans="1:3" x14ac:dyDescent="0.2">
      <c r="A10" s="11" t="s">
        <v>8</v>
      </c>
      <c r="B10" s="4"/>
      <c r="C10" s="124"/>
    </row>
    <row r="11" spans="1:3" x14ac:dyDescent="0.2">
      <c r="A11" s="11" t="s">
        <v>9</v>
      </c>
      <c r="B11" s="4"/>
      <c r="C11" s="124"/>
    </row>
    <row r="12" spans="1:3" x14ac:dyDescent="0.2">
      <c r="A12" s="11" t="s">
        <v>10</v>
      </c>
      <c r="B12" s="4"/>
      <c r="C12" s="124"/>
    </row>
    <row r="13" spans="1:3" x14ac:dyDescent="0.2">
      <c r="A13" s="12" t="s">
        <v>11</v>
      </c>
      <c r="B13" s="4"/>
      <c r="C13" s="124"/>
    </row>
    <row r="14" spans="1:3" ht="12.75" x14ac:dyDescent="0.2">
      <c r="A14" s="124"/>
      <c r="B14" s="124"/>
      <c r="C14" s="124"/>
    </row>
    <row r="15" spans="1:3" ht="15" x14ac:dyDescent="0.25">
      <c r="A15" s="8" t="s">
        <v>12</v>
      </c>
      <c r="B15" s="125"/>
      <c r="C15" s="124"/>
    </row>
    <row r="16" spans="1:3" ht="15" x14ac:dyDescent="0.25">
      <c r="A16" s="10">
        <f ca="1">TODAY()</f>
        <v>44725</v>
      </c>
      <c r="B16" s="124"/>
      <c r="C16" s="124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0"/>
  <sheetViews>
    <sheetView showGridLines="0" zoomScale="70" zoomScaleNormal="70" workbookViewId="0"/>
  </sheetViews>
  <sheetFormatPr defaultColWidth="9.140625" defaultRowHeight="12.75" x14ac:dyDescent="0.2"/>
  <cols>
    <col min="1" max="1" width="21.7109375" style="18" customWidth="1"/>
    <col min="2" max="2" width="14.140625" style="18" bestFit="1" customWidth="1"/>
    <col min="3" max="3" width="9.5703125" style="18" customWidth="1"/>
    <col min="4" max="4" width="26.7109375" style="18" customWidth="1"/>
    <col min="5" max="5" width="9.7109375" style="18" customWidth="1"/>
    <col min="6" max="6" width="10.7109375" style="18" customWidth="1"/>
    <col min="7" max="7" width="8.7109375" style="18" bestFit="1" customWidth="1"/>
    <col min="8" max="8" width="9.7109375" style="18" customWidth="1"/>
    <col min="9" max="9" width="1.7109375" style="18" customWidth="1"/>
    <col min="10" max="10" width="9.7109375" style="18" customWidth="1"/>
    <col min="11" max="12" width="10.7109375" style="18" customWidth="1"/>
    <col min="13" max="13" width="10.28515625" style="18" customWidth="1"/>
    <col min="14" max="14" width="9.7109375" style="18" customWidth="1"/>
    <col min="15" max="16" width="9.140625" style="18"/>
    <col min="17" max="17" width="15.42578125" style="18" bestFit="1" customWidth="1"/>
    <col min="18" max="18" width="10.140625" style="18" bestFit="1" customWidth="1"/>
    <col min="19" max="16384" width="9.140625" style="18"/>
  </cols>
  <sheetData>
    <row r="1" spans="1:23" ht="14.25" x14ac:dyDescent="0.2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3" ht="14.25" x14ac:dyDescent="0.2">
      <c r="A2" s="19"/>
      <c r="B2" s="20" t="s">
        <v>13</v>
      </c>
      <c r="C2" s="140"/>
      <c r="D2" s="21" t="s">
        <v>14</v>
      </c>
      <c r="E2" s="22"/>
      <c r="F2" s="140" t="s">
        <v>15</v>
      </c>
      <c r="G2" s="140"/>
      <c r="H2" s="140"/>
      <c r="I2" s="23"/>
      <c r="J2" s="22"/>
      <c r="K2" s="140"/>
      <c r="L2" s="24" t="s">
        <v>16</v>
      </c>
      <c r="M2" s="140"/>
      <c r="N2" s="19"/>
    </row>
    <row r="3" spans="1:23" ht="14.25" x14ac:dyDescent="0.2">
      <c r="A3" s="19" t="s">
        <v>17</v>
      </c>
      <c r="B3" s="21" t="s">
        <v>18</v>
      </c>
      <c r="C3" s="19" t="s">
        <v>19</v>
      </c>
      <c r="D3" s="21"/>
      <c r="E3" s="25" t="s">
        <v>20</v>
      </c>
      <c r="F3" s="25"/>
      <c r="G3" s="25"/>
      <c r="H3" s="25"/>
      <c r="I3" s="25"/>
      <c r="J3" s="21" t="s">
        <v>21</v>
      </c>
      <c r="K3" s="25" t="s">
        <v>22</v>
      </c>
      <c r="L3" s="25"/>
      <c r="M3" s="25"/>
      <c r="N3" s="25" t="s">
        <v>23</v>
      </c>
    </row>
    <row r="4" spans="1:23" ht="14.25" x14ac:dyDescent="0.2">
      <c r="A4" s="26" t="s">
        <v>24</v>
      </c>
      <c r="B4" s="27"/>
      <c r="C4" s="27"/>
      <c r="D4" s="27"/>
      <c r="E4" s="28" t="s">
        <v>25</v>
      </c>
      <c r="F4" s="28" t="s">
        <v>26</v>
      </c>
      <c r="G4" s="29" t="s">
        <v>27</v>
      </c>
      <c r="H4" s="30" t="s">
        <v>28</v>
      </c>
      <c r="I4" s="29"/>
      <c r="J4" s="29"/>
      <c r="K4" s="29" t="s">
        <v>29</v>
      </c>
      <c r="L4" s="30" t="s">
        <v>30</v>
      </c>
      <c r="M4" s="28" t="s">
        <v>28</v>
      </c>
      <c r="N4" s="29" t="s">
        <v>25</v>
      </c>
      <c r="W4" s="31"/>
    </row>
    <row r="5" spans="1:23" ht="14.25" x14ac:dyDescent="0.2">
      <c r="A5" s="19"/>
      <c r="B5" s="32" t="s">
        <v>31</v>
      </c>
      <c r="C5" s="141"/>
      <c r="D5" s="33" t="s">
        <v>32</v>
      </c>
      <c r="G5" s="32"/>
      <c r="I5" s="32"/>
      <c r="J5" s="32" t="s">
        <v>33</v>
      </c>
      <c r="K5" s="32"/>
      <c r="L5" s="32"/>
      <c r="M5" s="32"/>
      <c r="N5" s="32"/>
      <c r="W5" s="31"/>
    </row>
    <row r="6" spans="1:23" ht="16.5" customHeight="1" x14ac:dyDescent="0.2">
      <c r="A6" s="19" t="s">
        <v>34</v>
      </c>
      <c r="B6" s="34">
        <v>83.353999999999999</v>
      </c>
      <c r="C6" s="34">
        <v>82.602999999999994</v>
      </c>
      <c r="D6" s="34">
        <f>F6/C6</f>
        <v>51.042964541239421</v>
      </c>
      <c r="E6" s="35">
        <f>E14</f>
        <v>524.54100000000005</v>
      </c>
      <c r="F6" s="36">
        <f>F27</f>
        <v>4216.3019999999997</v>
      </c>
      <c r="G6" s="37">
        <f>G27</f>
        <v>19.838438342399996</v>
      </c>
      <c r="H6" s="37">
        <f>SUM(E6:G6)</f>
        <v>4760.6814383423998</v>
      </c>
      <c r="I6" s="19"/>
      <c r="J6" s="36">
        <f>J27</f>
        <v>2140.6021535309255</v>
      </c>
      <c r="K6" s="36">
        <f t="shared" ref="K6:K8" si="0">M6-L6-J6</f>
        <v>102.5292367522743</v>
      </c>
      <c r="L6" s="37">
        <f>L27</f>
        <v>2260.5710480591997</v>
      </c>
      <c r="M6" s="37">
        <f>H6-N6</f>
        <v>4503.7024383423995</v>
      </c>
      <c r="N6" s="37">
        <f>N26</f>
        <v>256.97899999999998</v>
      </c>
    </row>
    <row r="7" spans="1:23" ht="16.5" customHeight="1" x14ac:dyDescent="0.2">
      <c r="A7" s="19" t="s">
        <v>35</v>
      </c>
      <c r="B7" s="34">
        <v>87.194999999999993</v>
      </c>
      <c r="C7" s="34">
        <v>86.331999999999994</v>
      </c>
      <c r="D7" s="34">
        <f>F7/C7</f>
        <v>51.374137052309692</v>
      </c>
      <c r="E7" s="35">
        <f>N6</f>
        <v>256.97899999999998</v>
      </c>
      <c r="F7" s="36">
        <v>4435.232</v>
      </c>
      <c r="G7" s="37">
        <v>15</v>
      </c>
      <c r="H7" s="37">
        <f>SUM(E7:G7)</f>
        <v>4707.2110000000002</v>
      </c>
      <c r="I7" s="19"/>
      <c r="J7" s="36">
        <v>2215</v>
      </c>
      <c r="K7" s="36">
        <f t="shared" si="0"/>
        <v>117.21100000000024</v>
      </c>
      <c r="L7" s="37">
        <v>2170</v>
      </c>
      <c r="M7" s="37">
        <f>H7-N7</f>
        <v>4502.2110000000002</v>
      </c>
      <c r="N7" s="37">
        <v>205</v>
      </c>
    </row>
    <row r="8" spans="1:23" ht="16.5" customHeight="1" x14ac:dyDescent="0.2">
      <c r="A8" s="19" t="s">
        <v>36</v>
      </c>
      <c r="B8" s="34">
        <v>90.954999999999998</v>
      </c>
      <c r="C8" s="34">
        <v>90.1</v>
      </c>
      <c r="D8" s="34">
        <f>F8/C8</f>
        <v>51.498335183129861</v>
      </c>
      <c r="E8" s="35">
        <f>N7</f>
        <v>205</v>
      </c>
      <c r="F8" s="36">
        <v>4640</v>
      </c>
      <c r="G8" s="37">
        <v>15</v>
      </c>
      <c r="H8" s="37">
        <f>SUM(E8:G8)</f>
        <v>4860</v>
      </c>
      <c r="I8" s="19"/>
      <c r="J8" s="36">
        <v>2255</v>
      </c>
      <c r="K8" s="36">
        <f t="shared" si="0"/>
        <v>125</v>
      </c>
      <c r="L8" s="37">
        <v>2200</v>
      </c>
      <c r="M8" s="37">
        <f>H8-N8</f>
        <v>4580</v>
      </c>
      <c r="N8" s="37">
        <v>280</v>
      </c>
    </row>
    <row r="9" spans="1:23" ht="16.5" customHeight="1" x14ac:dyDescent="0.2">
      <c r="A9" s="23"/>
      <c r="B9" s="23"/>
      <c r="C9" s="23"/>
      <c r="D9" s="23"/>
      <c r="E9" s="38"/>
      <c r="F9" s="38"/>
      <c r="G9" s="39"/>
      <c r="H9" s="38"/>
      <c r="I9" s="38"/>
      <c r="J9" s="39"/>
      <c r="K9" s="39"/>
      <c r="L9" s="39"/>
      <c r="M9" s="39"/>
      <c r="N9" s="39"/>
    </row>
    <row r="10" spans="1:23" ht="16.5" customHeight="1" x14ac:dyDescent="0.25">
      <c r="A10" s="41" t="s">
        <v>34</v>
      </c>
      <c r="B10" s="126"/>
      <c r="C10" s="126"/>
      <c r="D10" s="126"/>
      <c r="E10" s="43"/>
      <c r="F10" s="44"/>
      <c r="G10" s="7"/>
      <c r="H10" s="14"/>
      <c r="I10" s="126"/>
      <c r="J10" s="14"/>
      <c r="K10" s="45"/>
      <c r="L10" s="7"/>
      <c r="M10" s="7"/>
      <c r="N10" s="14"/>
    </row>
    <row r="11" spans="1:23" ht="16.5" customHeight="1" x14ac:dyDescent="0.2">
      <c r="A11" s="23" t="s">
        <v>37</v>
      </c>
      <c r="B11" s="126"/>
      <c r="C11" s="126"/>
      <c r="D11" s="126"/>
      <c r="E11" s="43"/>
      <c r="F11" s="44"/>
      <c r="G11" s="7">
        <f>(44527.6*36.744)/1000000</f>
        <v>1.6361221343999999</v>
      </c>
      <c r="I11" s="126"/>
      <c r="J11" s="14">
        <f>((5131665*0.907185)*36.744)/1000000</f>
        <v>171.05689738659061</v>
      </c>
      <c r="K11" s="42"/>
      <c r="L11" s="7">
        <f>(7191284.4*36.744)/1000000</f>
        <v>264.23655399360001</v>
      </c>
      <c r="M11" s="7"/>
      <c r="N11" s="14"/>
    </row>
    <row r="12" spans="1:23" ht="16.5" customHeight="1" x14ac:dyDescent="0.2">
      <c r="A12" s="23" t="s">
        <v>38</v>
      </c>
      <c r="B12" s="126"/>
      <c r="C12" s="126"/>
      <c r="D12" s="126"/>
      <c r="E12" s="46"/>
      <c r="F12" s="44"/>
      <c r="G12" s="7">
        <f>(24879.1*36.744)/1000000</f>
        <v>0.91415765039999997</v>
      </c>
      <c r="I12" s="126"/>
      <c r="J12" s="14">
        <f>((5897079*0.907185)*36.744)/1000000</f>
        <v>196.57090581392558</v>
      </c>
      <c r="K12" s="42"/>
      <c r="L12" s="7">
        <f>(11636404.4*36.744)/1000000</f>
        <v>427.56804327359998</v>
      </c>
      <c r="M12" s="7"/>
      <c r="N12" s="14"/>
    </row>
    <row r="13" spans="1:23" ht="16.5" customHeight="1" x14ac:dyDescent="0.2">
      <c r="A13" s="23" t="s">
        <v>39</v>
      </c>
      <c r="B13" s="126"/>
      <c r="C13" s="126"/>
      <c r="D13" s="126"/>
      <c r="E13" s="46"/>
      <c r="F13" s="44"/>
      <c r="G13" s="7">
        <f>(12431.7*36.744)/1000000</f>
        <v>0.4567903848</v>
      </c>
      <c r="I13" s="126"/>
      <c r="J13" s="14">
        <f>((5731207*0.907185)*36.744)/1000000</f>
        <v>191.04179397920748</v>
      </c>
      <c r="K13" s="42"/>
      <c r="L13" s="7">
        <f>(10867331.6*36.744)/1000000</f>
        <v>399.30923231040003</v>
      </c>
      <c r="M13" s="7"/>
      <c r="N13" s="14"/>
    </row>
    <row r="14" spans="1:23" ht="16.5" customHeight="1" x14ac:dyDescent="0.2">
      <c r="A14" s="23" t="s">
        <v>40</v>
      </c>
      <c r="B14" s="126"/>
      <c r="C14" s="126"/>
      <c r="D14" s="126"/>
      <c r="E14" s="43">
        <v>524.54100000000005</v>
      </c>
      <c r="F14" s="44">
        <v>4216.3019999999997</v>
      </c>
      <c r="G14" s="7">
        <f>G11+G12+G13</f>
        <v>3.0070701696</v>
      </c>
      <c r="H14" s="14">
        <f>E14+F14+G14</f>
        <v>4743.8500701696003</v>
      </c>
      <c r="I14" s="126"/>
      <c r="J14" s="14">
        <f>J11+J12+J13</f>
        <v>558.66959717972361</v>
      </c>
      <c r="K14" s="42">
        <f>M14-L14-J14</f>
        <v>147.32664341227689</v>
      </c>
      <c r="L14" s="7">
        <f>L11+L12+L13</f>
        <v>1091.1138295776</v>
      </c>
      <c r="M14" s="7">
        <f>H14-N14</f>
        <v>1797.1100701696005</v>
      </c>
      <c r="N14" s="14">
        <v>2946.74</v>
      </c>
    </row>
    <row r="15" spans="1:23" ht="16.899999999999999" customHeight="1" x14ac:dyDescent="0.2">
      <c r="A15" s="19" t="s">
        <v>41</v>
      </c>
      <c r="B15" s="126"/>
      <c r="C15" s="126"/>
      <c r="D15" s="126"/>
      <c r="E15" s="43"/>
      <c r="F15" s="7"/>
      <c r="G15" s="7">
        <f>(23426.8*36.744)/1000000</f>
        <v>0.86079433919999992</v>
      </c>
      <c r="H15" s="14"/>
      <c r="I15" s="126"/>
      <c r="J15" s="14">
        <f>((5794233*0.907185)*36.744)/1000000</f>
        <v>193.14267780827416</v>
      </c>
      <c r="K15" s="42"/>
      <c r="L15" s="7">
        <f>(10445198.5*36.744)/1000000</f>
        <v>383.79837368400001</v>
      </c>
      <c r="M15" s="7"/>
      <c r="N15" s="14"/>
    </row>
    <row r="16" spans="1:23" ht="16.899999999999999" customHeight="1" x14ac:dyDescent="0.2">
      <c r="A16" s="19" t="s">
        <v>42</v>
      </c>
      <c r="B16" s="126"/>
      <c r="C16" s="126"/>
      <c r="D16" s="126"/>
      <c r="E16" s="43"/>
      <c r="F16" s="7"/>
      <c r="G16" s="7">
        <f>(19638*36.744)/1000000</f>
        <v>0.72157867200000003</v>
      </c>
      <c r="H16" s="14"/>
      <c r="I16" s="126"/>
      <c r="J16" s="14">
        <f>((5895360*0.907185)*36.744)/1000000</f>
        <v>196.5136053458304</v>
      </c>
      <c r="K16" s="42"/>
      <c r="L16" s="7">
        <f>(8696539.6*36.744)/1000000</f>
        <v>319.5456510624</v>
      </c>
      <c r="M16" s="7"/>
      <c r="N16" s="14"/>
    </row>
    <row r="17" spans="1:14" ht="16.899999999999999" customHeight="1" x14ac:dyDescent="0.2">
      <c r="A17" s="19" t="s">
        <v>43</v>
      </c>
      <c r="B17" s="126"/>
      <c r="C17" s="126"/>
      <c r="D17" s="126"/>
      <c r="E17" s="43"/>
      <c r="F17" s="7"/>
      <c r="G17" s="7">
        <f>(22552.9*36.744)/1000000</f>
        <v>0.82868375760000001</v>
      </c>
      <c r="H17" s="14"/>
      <c r="I17" s="126"/>
      <c r="J17" s="14">
        <f>((4930499*0.907185)*36.744)/1000000</f>
        <v>164.35130927441435</v>
      </c>
      <c r="K17" s="42"/>
      <c r="L17" s="7">
        <f>(4558707.1*36.744)/1000000</f>
        <v>167.50513368239999</v>
      </c>
      <c r="M17" s="7"/>
      <c r="N17" s="14"/>
    </row>
    <row r="18" spans="1:14" ht="16.899999999999999" customHeight="1" x14ac:dyDescent="0.2">
      <c r="A18" s="19" t="s">
        <v>44</v>
      </c>
      <c r="B18" s="126"/>
      <c r="C18" s="126"/>
      <c r="D18" s="126"/>
      <c r="E18" s="43">
        <f>N14</f>
        <v>2946.74</v>
      </c>
      <c r="F18" s="7"/>
      <c r="G18" s="7">
        <f>SUM(G15:G17)</f>
        <v>2.4110567688</v>
      </c>
      <c r="H18" s="14">
        <f>E18+F18+G18</f>
        <v>2949.1510567687997</v>
      </c>
      <c r="I18" s="126"/>
      <c r="J18" s="14">
        <f>SUM(J15:J17)</f>
        <v>554.00759242851893</v>
      </c>
      <c r="K18" s="42">
        <f>M18-L18-J18</f>
        <v>-37.389694088519263</v>
      </c>
      <c r="L18" s="7">
        <f>SUM(L15:L17)</f>
        <v>870.84915842880002</v>
      </c>
      <c r="M18" s="7">
        <f>H18-N18</f>
        <v>1387.4670567687997</v>
      </c>
      <c r="N18" s="14">
        <v>1561.684</v>
      </c>
    </row>
    <row r="19" spans="1:14" ht="16.899999999999999" customHeight="1" x14ac:dyDescent="0.2">
      <c r="A19" s="19" t="s">
        <v>45</v>
      </c>
      <c r="B19" s="126"/>
      <c r="C19" s="126"/>
      <c r="D19" s="126"/>
      <c r="E19" s="43"/>
      <c r="F19" s="7"/>
      <c r="G19" s="7">
        <f>(26142.7*36.744)/1000000</f>
        <v>0.96058736880000006</v>
      </c>
      <c r="H19" s="14"/>
      <c r="I19" s="126"/>
      <c r="J19" s="14">
        <f>((5646728*0.907185)*36.744)/1000000</f>
        <v>188.22580430834591</v>
      </c>
      <c r="K19" s="42"/>
      <c r="L19" s="7">
        <f>(2295121.8*36.744)/1000000</f>
        <v>84.331955419199986</v>
      </c>
      <c r="M19" s="7"/>
      <c r="N19" s="47"/>
    </row>
    <row r="20" spans="1:14" ht="16.899999999999999" customHeight="1" x14ac:dyDescent="0.2">
      <c r="A20" s="19" t="s">
        <v>46</v>
      </c>
      <c r="B20" s="126"/>
      <c r="C20" s="126"/>
      <c r="D20" s="126"/>
      <c r="E20" s="43"/>
      <c r="F20" s="7"/>
      <c r="G20" s="7">
        <f>(34734.1*36.744)/1000000</f>
        <v>1.2762697704000001</v>
      </c>
      <c r="H20" s="14"/>
      <c r="I20" s="126"/>
      <c r="J20" s="14">
        <f>((5095631*0.907185)*36.744)/1000000</f>
        <v>169.85575424095885</v>
      </c>
      <c r="K20" s="42"/>
      <c r="L20" s="7">
        <f>(1384924.4*36.744)/1000000</f>
        <v>50.887662153599997</v>
      </c>
      <c r="M20" s="7"/>
      <c r="N20" s="47"/>
    </row>
    <row r="21" spans="1:14" ht="16.899999999999999" customHeight="1" x14ac:dyDescent="0.2">
      <c r="A21" s="19" t="s">
        <v>47</v>
      </c>
      <c r="B21" s="126"/>
      <c r="C21" s="126"/>
      <c r="D21" s="126"/>
      <c r="E21" s="43"/>
      <c r="F21" s="7"/>
      <c r="G21" s="7">
        <f>(51046.1*36.744)/1000000</f>
        <v>1.8756378983999997</v>
      </c>
      <c r="H21" s="14"/>
      <c r="I21" s="126"/>
      <c r="J21" s="14">
        <f>((5205032*0.907185)*36.744)/1000000</f>
        <v>173.50248403158051</v>
      </c>
      <c r="K21" s="42"/>
      <c r="L21" s="7">
        <f>(1266685.1*36.744)/1000000</f>
        <v>46.543077314400001</v>
      </c>
      <c r="M21" s="7"/>
      <c r="N21" s="47"/>
    </row>
    <row r="22" spans="1:14" ht="16.899999999999999" customHeight="1" x14ac:dyDescent="0.2">
      <c r="A22" s="19" t="s">
        <v>48</v>
      </c>
      <c r="B22" s="126"/>
      <c r="C22" s="126"/>
      <c r="D22" s="126"/>
      <c r="E22" s="43">
        <f>N18</f>
        <v>1561.684</v>
      </c>
      <c r="F22" s="7"/>
      <c r="G22" s="7">
        <f>SUM(G19:G21)</f>
        <v>4.1124950375999996</v>
      </c>
      <c r="H22" s="14">
        <f>E22+F22+G22</f>
        <v>1565.7964950375999</v>
      </c>
      <c r="I22" s="126"/>
      <c r="J22" s="15">
        <f>SUM(J19:J21)</f>
        <v>531.58404258088524</v>
      </c>
      <c r="K22" s="42">
        <f>M22-L22-J22</f>
        <v>83.409757569514682</v>
      </c>
      <c r="L22" s="7">
        <f>SUM(L19:L21)</f>
        <v>181.76269488719998</v>
      </c>
      <c r="M22" s="7">
        <f>H22-N22</f>
        <v>796.75649503759996</v>
      </c>
      <c r="N22" s="14">
        <v>769.04</v>
      </c>
    </row>
    <row r="23" spans="1:14" ht="16.899999999999999" customHeight="1" x14ac:dyDescent="0.2">
      <c r="A23" s="19" t="s">
        <v>49</v>
      </c>
      <c r="B23" s="126"/>
      <c r="C23" s="126"/>
      <c r="D23" s="126"/>
      <c r="E23" s="43"/>
      <c r="F23" s="7"/>
      <c r="G23" s="7">
        <f>(205436.7*36.744)/1000000</f>
        <v>7.5485661048000008</v>
      </c>
      <c r="H23" s="14"/>
      <c r="I23" s="126"/>
      <c r="J23" s="15">
        <f>((4852334*0.907185)*36.744)/1000000</f>
        <v>161.74578798956375</v>
      </c>
      <c r="K23" s="42"/>
      <c r="L23" s="7">
        <f>(925497.6*36.744)/1000000</f>
        <v>34.006483814399999</v>
      </c>
      <c r="M23" s="7"/>
      <c r="N23" s="14"/>
    </row>
    <row r="24" spans="1:14" ht="16.899999999999999" customHeight="1" x14ac:dyDescent="0.2">
      <c r="A24" s="19" t="s">
        <v>50</v>
      </c>
      <c r="B24" s="126"/>
      <c r="C24" s="126"/>
      <c r="D24" s="126"/>
      <c r="E24" s="43"/>
      <c r="F24" s="7"/>
      <c r="G24" s="7">
        <f>(59776.6*36.744)/1000000</f>
        <v>2.1964313903999999</v>
      </c>
      <c r="H24" s="14"/>
      <c r="I24" s="126"/>
      <c r="J24" s="15">
        <f>((4989996*0.907185)*36.744)/1000000</f>
        <v>166.33455880917742</v>
      </c>
      <c r="K24" s="42"/>
      <c r="L24" s="7">
        <f>(945804.5*36.744)/1000000</f>
        <v>34.752640548000002</v>
      </c>
      <c r="M24" s="7"/>
      <c r="N24" s="14"/>
    </row>
    <row r="25" spans="1:14" ht="16.899999999999999" customHeight="1" x14ac:dyDescent="0.2">
      <c r="A25" s="19" t="s">
        <v>51</v>
      </c>
      <c r="B25" s="126"/>
      <c r="C25" s="126"/>
      <c r="D25" s="126"/>
      <c r="E25" s="43"/>
      <c r="F25" s="7"/>
      <c r="G25" s="7">
        <f>(15317.3*36.744)/1000000</f>
        <v>0.56281887119999996</v>
      </c>
      <c r="H25" s="14"/>
      <c r="I25" s="126"/>
      <c r="J25" s="15">
        <f>((5047776*0.907185)*36.744)/1000000</f>
        <v>168.26057454305666</v>
      </c>
      <c r="K25" s="42"/>
      <c r="L25" s="7">
        <f>(1308682.8*36.744)/1000000</f>
        <v>48.086240803199999</v>
      </c>
      <c r="M25" s="7"/>
      <c r="N25" s="14"/>
    </row>
    <row r="26" spans="1:14" ht="16.899999999999999" customHeight="1" x14ac:dyDescent="0.2">
      <c r="A26" s="19" t="s">
        <v>52</v>
      </c>
      <c r="B26" s="126"/>
      <c r="C26" s="126"/>
      <c r="D26" s="126"/>
      <c r="E26" s="43">
        <f>N22</f>
        <v>769.04</v>
      </c>
      <c r="F26" s="7"/>
      <c r="G26" s="7">
        <f>SUM(G23:G25)</f>
        <v>10.307816366399999</v>
      </c>
      <c r="H26" s="14">
        <f>E26+F26+G26</f>
        <v>779.34781636639991</v>
      </c>
      <c r="I26" s="126"/>
      <c r="J26" s="15">
        <f>SUM(J23:J25)</f>
        <v>496.34092134179787</v>
      </c>
      <c r="K26" s="45">
        <f>M26-L26-J26</f>
        <v>-90.817470140998012</v>
      </c>
      <c r="L26" s="7">
        <f>SUM(L23:L25)</f>
        <v>116.8453651656</v>
      </c>
      <c r="M26" s="7">
        <f>H26-N26</f>
        <v>522.36881636639987</v>
      </c>
      <c r="N26" s="14">
        <v>256.97899999999998</v>
      </c>
    </row>
    <row r="27" spans="1:14" s="59" customFormat="1" ht="16.5" customHeight="1" x14ac:dyDescent="0.2">
      <c r="A27" s="23" t="s">
        <v>28</v>
      </c>
      <c r="B27" s="126"/>
      <c r="C27" s="126"/>
      <c r="D27" s="126"/>
      <c r="E27" s="43"/>
      <c r="F27" s="44">
        <f>F14</f>
        <v>4216.3019999999997</v>
      </c>
      <c r="G27" s="7">
        <f>G14+G18+G22+G26</f>
        <v>19.838438342399996</v>
      </c>
      <c r="H27" s="14">
        <f>E14+F27+G27</f>
        <v>4760.6814383423998</v>
      </c>
      <c r="I27" s="126"/>
      <c r="J27" s="14">
        <f>J14+J18+J22+J26</f>
        <v>2140.6021535309255</v>
      </c>
      <c r="K27" s="42">
        <f>SUM(K14,K18,K22,K26)</f>
        <v>102.5292367522743</v>
      </c>
      <c r="L27" s="7">
        <f>L14+L18+L22+L26</f>
        <v>2260.5710480591997</v>
      </c>
      <c r="M27" s="7">
        <f>M14+M18+M22+M26</f>
        <v>4503.7024383424005</v>
      </c>
      <c r="N27" s="14"/>
    </row>
    <row r="28" spans="1:14" ht="16.5" customHeight="1" x14ac:dyDescent="0.2">
      <c r="A28" s="23"/>
      <c r="B28" s="126"/>
      <c r="C28" s="126"/>
      <c r="D28" s="126"/>
      <c r="E28" s="43"/>
      <c r="F28" s="44"/>
      <c r="G28" s="7"/>
      <c r="H28" s="14"/>
      <c r="I28" s="126"/>
      <c r="J28" s="14"/>
      <c r="K28" s="42"/>
      <c r="L28" s="7"/>
      <c r="M28" s="7"/>
      <c r="N28" s="14"/>
    </row>
    <row r="29" spans="1:14" ht="16.5" customHeight="1" x14ac:dyDescent="0.25">
      <c r="A29" s="55" t="s">
        <v>53</v>
      </c>
      <c r="B29" s="126"/>
      <c r="C29" s="126"/>
      <c r="D29" s="126"/>
      <c r="E29" s="43"/>
      <c r="F29" s="44"/>
      <c r="G29" s="7"/>
      <c r="H29" s="14"/>
      <c r="I29" s="126"/>
      <c r="J29" s="14"/>
      <c r="K29" s="42"/>
      <c r="L29" s="7"/>
      <c r="M29" s="7"/>
      <c r="N29" s="14"/>
    </row>
    <row r="30" spans="1:14" ht="16.5" customHeight="1" x14ac:dyDescent="0.2">
      <c r="A30" s="23" t="s">
        <v>37</v>
      </c>
      <c r="B30" s="126"/>
      <c r="C30" s="126"/>
      <c r="D30" s="126"/>
      <c r="E30" s="43"/>
      <c r="F30" s="44"/>
      <c r="G30" s="7">
        <f>(24320.3*36.744)/1000000</f>
        <v>0.89362510319999999</v>
      </c>
      <c r="I30" s="126"/>
      <c r="J30" s="14">
        <f>((4924574*0.907185)*36.744)/1000000</f>
        <v>164.15380766099736</v>
      </c>
      <c r="K30" s="42"/>
      <c r="L30" s="7">
        <f>(2167640.8*36.744)/1000000</f>
        <v>79.647793555199996</v>
      </c>
      <c r="M30" s="7"/>
      <c r="N30" s="14"/>
    </row>
    <row r="31" spans="1:14" ht="16.5" customHeight="1" x14ac:dyDescent="0.2">
      <c r="A31" s="23" t="s">
        <v>38</v>
      </c>
      <c r="B31" s="126"/>
      <c r="C31" s="126"/>
      <c r="D31" s="126"/>
      <c r="E31" s="43"/>
      <c r="F31" s="44"/>
      <c r="G31" s="7">
        <f>(19235.5*36.744)/1000000</f>
        <v>0.70678921199999989</v>
      </c>
      <c r="I31" s="126"/>
      <c r="J31" s="14">
        <f>((5908157*0.907185)*36.744)/1000000</f>
        <v>196.9401754972055</v>
      </c>
      <c r="K31" s="42"/>
      <c r="L31" s="7">
        <f>(10506970*36.744)/1000000</f>
        <v>386.06810568000003</v>
      </c>
      <c r="M31" s="7"/>
      <c r="N31" s="14"/>
    </row>
    <row r="32" spans="1:14" ht="16.5" customHeight="1" x14ac:dyDescent="0.2">
      <c r="A32" s="23" t="s">
        <v>39</v>
      </c>
      <c r="B32" s="126"/>
      <c r="C32" s="126"/>
      <c r="D32" s="126"/>
      <c r="E32" s="43"/>
      <c r="F32" s="44"/>
      <c r="G32" s="7">
        <f>(34891.5*36.744)/1000000</f>
        <v>1.2820532760000001</v>
      </c>
      <c r="I32" s="126"/>
      <c r="J32" s="14">
        <f>((5717943*0.907185)*36.744)/1000000</f>
        <v>190.59965703399854</v>
      </c>
      <c r="K32" s="42"/>
      <c r="L32" s="7">
        <f>(10702618.5*36.744)/1000000</f>
        <v>393.257014164</v>
      </c>
      <c r="M32" s="7"/>
      <c r="N32" s="14"/>
    </row>
    <row r="33" spans="1:73" ht="16.5" customHeight="1" x14ac:dyDescent="0.2">
      <c r="A33" s="23" t="s">
        <v>40</v>
      </c>
      <c r="B33" s="126"/>
      <c r="C33" s="126"/>
      <c r="D33" s="126"/>
      <c r="E33" s="43">
        <f>N26</f>
        <v>256.97899999999998</v>
      </c>
      <c r="F33" s="43">
        <v>4435.232</v>
      </c>
      <c r="G33" s="7">
        <f>SUM(G30:G32)</f>
        <v>2.8824675912000002</v>
      </c>
      <c r="H33" s="14">
        <f>SUM(E33:G33)</f>
        <v>4695.0934675912004</v>
      </c>
      <c r="I33" s="126"/>
      <c r="J33" s="14">
        <f>SUM(J30:J32)</f>
        <v>551.69364019220143</v>
      </c>
      <c r="K33" s="42">
        <f>M33-L33-J33</f>
        <v>132.90291399979901</v>
      </c>
      <c r="L33" s="7">
        <f>SUM(L30:L32)</f>
        <v>858.97291339920002</v>
      </c>
      <c r="M33" s="7">
        <f>H33-N33</f>
        <v>1543.5694675912005</v>
      </c>
      <c r="N33" s="14">
        <v>3151.5239999999999</v>
      </c>
    </row>
    <row r="34" spans="1:73" ht="16.5" customHeight="1" x14ac:dyDescent="0.2">
      <c r="A34" s="19" t="s">
        <v>41</v>
      </c>
      <c r="B34" s="126"/>
      <c r="C34" s="126"/>
      <c r="D34" s="126"/>
      <c r="E34" s="43"/>
      <c r="F34" s="43"/>
      <c r="G34" s="7">
        <f>(27875.3*36.744)/1000000</f>
        <v>1.0242500232</v>
      </c>
      <c r="H34" s="14"/>
      <c r="I34" s="126"/>
      <c r="J34" s="14">
        <f>((5947222*0.907185)*36.744)/1000000</f>
        <v>198.24235280153209</v>
      </c>
      <c r="K34" s="42"/>
      <c r="L34" s="7">
        <f>(8108078.4*36.744)/1000000</f>
        <v>297.92323272959999</v>
      </c>
      <c r="M34" s="7"/>
      <c r="N34" s="14"/>
    </row>
    <row r="35" spans="1:73" ht="16.5" customHeight="1" x14ac:dyDescent="0.2">
      <c r="A35" s="19" t="s">
        <v>42</v>
      </c>
      <c r="B35" s="126"/>
      <c r="C35" s="126"/>
      <c r="D35" s="126"/>
      <c r="E35" s="43"/>
      <c r="F35" s="43"/>
      <c r="G35" s="7">
        <f>(23947.4*36.744)/1000000</f>
        <v>0.8799232656</v>
      </c>
      <c r="H35" s="14"/>
      <c r="I35" s="126"/>
      <c r="J35" s="14">
        <f>((5828974*0.907185)*36.744)/1000000</f>
        <v>194.30072060181334</v>
      </c>
      <c r="K35" s="42"/>
      <c r="L35" s="7">
        <f>(6392108.3*36.744)/1000000</f>
        <v>234.87162737520001</v>
      </c>
      <c r="M35" s="7"/>
      <c r="N35" s="14"/>
    </row>
    <row r="36" spans="1:73" ht="16.5" customHeight="1" x14ac:dyDescent="0.2">
      <c r="A36" s="19" t="s">
        <v>43</v>
      </c>
      <c r="B36" s="126"/>
      <c r="C36" s="126"/>
      <c r="D36" s="126"/>
      <c r="E36" s="43"/>
      <c r="F36" s="43"/>
      <c r="G36" s="7">
        <f>(47248.7*36.744)/1000000</f>
        <v>1.7361062327999999</v>
      </c>
      <c r="H36" s="14"/>
      <c r="I36" s="126"/>
      <c r="J36" s="14">
        <f>((5232453*0.907185)*36.744)/1000000</f>
        <v>174.41652483183492</v>
      </c>
      <c r="K36" s="42"/>
      <c r="L36" s="7">
        <f>(3791255.7*36.744)/1000000</f>
        <v>139.3058994408</v>
      </c>
      <c r="M36" s="7"/>
      <c r="N36" s="14"/>
    </row>
    <row r="37" spans="1:73" ht="16.5" customHeight="1" x14ac:dyDescent="0.2">
      <c r="A37" s="19" t="s">
        <v>44</v>
      </c>
      <c r="B37" s="126"/>
      <c r="C37" s="126"/>
      <c r="D37" s="126"/>
      <c r="E37" s="43">
        <f>N33</f>
        <v>3151.5239999999999</v>
      </c>
      <c r="F37" s="43"/>
      <c r="G37" s="7">
        <f>SUM(G34:G36)</f>
        <v>3.6402795216000001</v>
      </c>
      <c r="H37" s="14">
        <f>E37+F37+G37</f>
        <v>3155.1642795215998</v>
      </c>
      <c r="I37" s="126"/>
      <c r="J37" s="14">
        <f>SUM(J34:J36)</f>
        <v>566.95959823518035</v>
      </c>
      <c r="K37" s="42">
        <f>M37-L37-J37</f>
        <v>-15.109078259180478</v>
      </c>
      <c r="L37" s="7">
        <f>SUM(L34:L36)</f>
        <v>672.1007595456</v>
      </c>
      <c r="M37" s="7">
        <f>H37-N37</f>
        <v>1223.9512795215999</v>
      </c>
      <c r="N37" s="14">
        <v>1931.213</v>
      </c>
    </row>
    <row r="38" spans="1:73" ht="16.5" customHeight="1" x14ac:dyDescent="0.2">
      <c r="A38" s="19" t="s">
        <v>45</v>
      </c>
      <c r="B38" s="126"/>
      <c r="C38" s="126"/>
      <c r="D38" s="126"/>
      <c r="E38" s="43"/>
      <c r="F38" s="43"/>
      <c r="G38" s="7">
        <f>(33665.9*36.744)/1000000</f>
        <v>1.2370198296000001</v>
      </c>
      <c r="H38" s="14"/>
      <c r="I38" s="126"/>
      <c r="J38" s="14">
        <f>((5786159*0.907185)*36.744)/1000000</f>
        <v>192.87354227633676</v>
      </c>
      <c r="K38" s="42"/>
      <c r="L38" s="7">
        <f>(3184420.8*36.744)/1000000</f>
        <v>117.00835787519999</v>
      </c>
      <c r="M38" s="7"/>
      <c r="N38" s="14"/>
    </row>
    <row r="39" spans="1:73" ht="16.5" customHeight="1" x14ac:dyDescent="0.2">
      <c r="A39" s="19" t="s">
        <v>46</v>
      </c>
      <c r="B39" s="126"/>
      <c r="C39" s="126"/>
      <c r="D39" s="126"/>
      <c r="E39" s="43"/>
      <c r="F39" s="43"/>
      <c r="G39" s="7">
        <f>(49190.6*36.744)/1000000</f>
        <v>1.8074594064</v>
      </c>
      <c r="H39" s="14"/>
      <c r="I39" s="126"/>
      <c r="J39" s="14">
        <f>((5426712*0.907185)*36.744)/1000000</f>
        <v>180.89187772985568</v>
      </c>
      <c r="K39" s="42"/>
      <c r="L39" s="7">
        <f>(3657248.5*36.744)/1000000</f>
        <v>134.38193888399999</v>
      </c>
      <c r="M39" s="7"/>
      <c r="N39" s="14"/>
    </row>
    <row r="40" spans="1:73" ht="16.5" customHeight="1" x14ac:dyDescent="0.2">
      <c r="A40" s="23" t="s">
        <v>28</v>
      </c>
      <c r="B40" s="126"/>
      <c r="C40" s="126"/>
      <c r="D40" s="126"/>
      <c r="E40" s="43"/>
      <c r="F40" s="43"/>
      <c r="G40" s="7">
        <f>SUM(G33,G37,G38,G39)</f>
        <v>9.5672263488000002</v>
      </c>
      <c r="H40" s="14"/>
      <c r="I40" s="126"/>
      <c r="J40" s="14">
        <f>SUM(J33,J37,J38,J39)</f>
        <v>1492.4186584335744</v>
      </c>
      <c r="K40" s="42"/>
      <c r="L40" s="7">
        <f>SUM(L33,L37,L38,L39)</f>
        <v>1782.463969704</v>
      </c>
      <c r="M40" s="7"/>
      <c r="N40" s="14"/>
    </row>
    <row r="41" spans="1:73" ht="16.5" customHeight="1" x14ac:dyDescent="0.2">
      <c r="A41" s="117" t="s">
        <v>54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118"/>
      <c r="M41" s="96"/>
      <c r="N41" s="96"/>
    </row>
    <row r="42" spans="1:73" ht="16.5" customHeight="1" x14ac:dyDescent="0.2">
      <c r="A42" s="19" t="s">
        <v>55</v>
      </c>
      <c r="B42" s="19"/>
      <c r="C42" s="19"/>
      <c r="D42" s="19"/>
      <c r="E42" s="49"/>
      <c r="F42" s="49"/>
      <c r="G42" s="49"/>
      <c r="H42" s="49"/>
      <c r="I42" s="49"/>
      <c r="J42" s="49"/>
      <c r="K42" s="49"/>
      <c r="L42" s="49"/>
      <c r="M42" s="49"/>
      <c r="N42" s="49"/>
    </row>
    <row r="43" spans="1:73" ht="16.5" customHeight="1" x14ac:dyDescent="0.2">
      <c r="A43" s="25" t="s">
        <v>56</v>
      </c>
      <c r="B43" s="50">
        <f ca="1">NOW()</f>
        <v>44725.649194097219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27"/>
      <c r="P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</row>
    <row r="44" spans="1:73" x14ac:dyDescent="0.2">
      <c r="O44" s="127"/>
      <c r="P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</row>
    <row r="45" spans="1:73" x14ac:dyDescent="0.2">
      <c r="O45" s="127"/>
      <c r="P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</row>
    <row r="46" spans="1:73" x14ac:dyDescent="0.2">
      <c r="O46" s="127"/>
      <c r="P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</row>
    <row r="47" spans="1:73" x14ac:dyDescent="0.2">
      <c r="F47" s="51"/>
      <c r="O47" s="127"/>
      <c r="P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</row>
    <row r="48" spans="1:73" x14ac:dyDescent="0.2">
      <c r="O48" s="127"/>
      <c r="P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</row>
    <row r="49" spans="15:73" x14ac:dyDescent="0.2">
      <c r="O49" s="127"/>
      <c r="P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</row>
    <row r="50" spans="15:73" x14ac:dyDescent="0.2">
      <c r="O50" s="127"/>
      <c r="P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</row>
    <row r="51" spans="15:73" x14ac:dyDescent="0.2">
      <c r="O51" s="127"/>
      <c r="P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</row>
    <row r="52" spans="15:73" x14ac:dyDescent="0.2">
      <c r="O52" s="127"/>
      <c r="P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</row>
    <row r="53" spans="15:73" x14ac:dyDescent="0.2">
      <c r="O53" s="127"/>
      <c r="P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</row>
    <row r="54" spans="15:73" x14ac:dyDescent="0.2">
      <c r="O54" s="127"/>
      <c r="P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</row>
    <row r="55" spans="15:73" x14ac:dyDescent="0.2">
      <c r="O55" s="127"/>
      <c r="P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</row>
    <row r="56" spans="15:73" x14ac:dyDescent="0.2">
      <c r="O56" s="127"/>
      <c r="P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</row>
    <row r="57" spans="15:73" x14ac:dyDescent="0.2">
      <c r="O57" s="127"/>
      <c r="P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</row>
    <row r="58" spans="15:73" x14ac:dyDescent="0.2">
      <c r="O58" s="127"/>
      <c r="P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</row>
    <row r="59" spans="15:73" x14ac:dyDescent="0.2">
      <c r="O59" s="127"/>
      <c r="P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</row>
    <row r="60" spans="15:73" x14ac:dyDescent="0.2">
      <c r="O60" s="127"/>
      <c r="P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</row>
    <row r="61" spans="15:73" x14ac:dyDescent="0.2">
      <c r="O61" s="127"/>
      <c r="P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</row>
    <row r="62" spans="15:73" x14ac:dyDescent="0.2">
      <c r="O62" s="127"/>
      <c r="P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</row>
    <row r="63" spans="15:73" x14ac:dyDescent="0.2">
      <c r="O63" s="127"/>
      <c r="P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</row>
    <row r="64" spans="15:73" x14ac:dyDescent="0.2">
      <c r="O64" s="127"/>
      <c r="P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</row>
    <row r="65" spans="15:73" x14ac:dyDescent="0.2">
      <c r="O65" s="127"/>
      <c r="P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</row>
    <row r="66" spans="15:73" x14ac:dyDescent="0.2">
      <c r="O66" s="127"/>
      <c r="P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</row>
    <row r="67" spans="15:73" x14ac:dyDescent="0.2">
      <c r="O67" s="127"/>
      <c r="P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</row>
    <row r="68" spans="15:73" x14ac:dyDescent="0.2">
      <c r="O68" s="127"/>
      <c r="P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</row>
    <row r="69" spans="15:73" x14ac:dyDescent="0.2">
      <c r="O69" s="127"/>
      <c r="P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</row>
    <row r="70" spans="15:73" x14ac:dyDescent="0.2">
      <c r="O70" s="127"/>
      <c r="P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</row>
    <row r="71" spans="15:73" x14ac:dyDescent="0.2"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</row>
    <row r="72" spans="15:73" x14ac:dyDescent="0.2"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</row>
    <row r="73" spans="15:73" x14ac:dyDescent="0.2"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</row>
    <row r="74" spans="15:73" x14ac:dyDescent="0.2"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</row>
    <row r="75" spans="15:73" x14ac:dyDescent="0.2"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</row>
    <row r="76" spans="15:73" x14ac:dyDescent="0.2"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</row>
    <row r="77" spans="15:73" x14ac:dyDescent="0.2"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</row>
    <row r="78" spans="15:73" x14ac:dyDescent="0.2"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</row>
    <row r="79" spans="15:73" x14ac:dyDescent="0.2"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</row>
    <row r="80" spans="15:73" x14ac:dyDescent="0.2"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</row>
    <row r="81" spans="15:73" x14ac:dyDescent="0.2"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</row>
    <row r="82" spans="15:73" x14ac:dyDescent="0.2"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</row>
    <row r="83" spans="15:73" x14ac:dyDescent="0.2"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</row>
    <row r="84" spans="15:73" x14ac:dyDescent="0.2"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</row>
    <row r="85" spans="15:73" x14ac:dyDescent="0.2"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</row>
    <row r="86" spans="15:73" x14ac:dyDescent="0.2"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</row>
    <row r="87" spans="15:73" x14ac:dyDescent="0.2"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</row>
    <row r="88" spans="15:73" x14ac:dyDescent="0.2"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</row>
    <row r="89" spans="15:73" x14ac:dyDescent="0.2"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</row>
    <row r="90" spans="15:73" x14ac:dyDescent="0.2"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</row>
    <row r="91" spans="15:73" x14ac:dyDescent="0.2"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</row>
    <row r="92" spans="15:73" x14ac:dyDescent="0.2"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</row>
    <row r="93" spans="15:73" x14ac:dyDescent="0.2"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</row>
    <row r="94" spans="15:73" x14ac:dyDescent="0.2"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</row>
    <row r="95" spans="15:73" x14ac:dyDescent="0.2"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</row>
    <row r="96" spans="15:73" x14ac:dyDescent="0.2"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</row>
    <row r="97" spans="15:73" x14ac:dyDescent="0.2"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</row>
    <row r="98" spans="15:73" x14ac:dyDescent="0.2"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</row>
    <row r="99" spans="15:73" x14ac:dyDescent="0.2"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</row>
    <row r="100" spans="15:73" x14ac:dyDescent="0.2"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</row>
    <row r="101" spans="15:73" x14ac:dyDescent="0.2"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</row>
    <row r="102" spans="15:73" x14ac:dyDescent="0.2"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</row>
    <row r="103" spans="15:73" x14ac:dyDescent="0.2"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</row>
    <row r="104" spans="15:73" x14ac:dyDescent="0.2"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</row>
    <row r="105" spans="15:73" x14ac:dyDescent="0.2"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</row>
    <row r="106" spans="15:73" x14ac:dyDescent="0.2"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</row>
    <row r="107" spans="15:73" x14ac:dyDescent="0.2"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</row>
    <row r="108" spans="15:73" x14ac:dyDescent="0.2"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</row>
    <row r="109" spans="15:73" x14ac:dyDescent="0.2"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</row>
    <row r="110" spans="15:73" x14ac:dyDescent="0.2"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</row>
    <row r="111" spans="15:73" x14ac:dyDescent="0.2"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</row>
    <row r="112" spans="15:73" x14ac:dyDescent="0.2"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</row>
    <row r="113" spans="15:73" x14ac:dyDescent="0.2"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</row>
    <row r="114" spans="15:73" x14ac:dyDescent="0.2"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</row>
    <row r="115" spans="15:73" x14ac:dyDescent="0.2"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</row>
    <row r="116" spans="15:73" x14ac:dyDescent="0.2"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</row>
    <row r="117" spans="15:73" x14ac:dyDescent="0.2"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</row>
    <row r="118" spans="15:73" x14ac:dyDescent="0.2"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</row>
    <row r="119" spans="15:73" x14ac:dyDescent="0.2"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</row>
    <row r="120" spans="15:73" x14ac:dyDescent="0.2"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</row>
    <row r="121" spans="15:73" x14ac:dyDescent="0.2"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</row>
    <row r="122" spans="15:73" x14ac:dyDescent="0.2"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</row>
    <row r="123" spans="15:73" x14ac:dyDescent="0.2"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</row>
    <row r="124" spans="15:73" x14ac:dyDescent="0.2"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</row>
    <row r="125" spans="15:73" x14ac:dyDescent="0.2"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</row>
    <row r="126" spans="15:73" x14ac:dyDescent="0.2"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</row>
    <row r="127" spans="15:73" x14ac:dyDescent="0.2"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</row>
    <row r="128" spans="15:73" x14ac:dyDescent="0.2"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</row>
    <row r="129" spans="15:73" x14ac:dyDescent="0.2"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</row>
    <row r="130" spans="15:73" x14ac:dyDescent="0.2"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</row>
    <row r="131" spans="15:73" x14ac:dyDescent="0.2"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</row>
    <row r="132" spans="15:73" x14ac:dyDescent="0.2"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</row>
    <row r="133" spans="15:73" x14ac:dyDescent="0.2"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7"/>
      <c r="BQ133" s="127"/>
      <c r="BR133" s="127"/>
      <c r="BS133" s="127"/>
      <c r="BT133" s="127"/>
      <c r="BU133" s="127"/>
    </row>
    <row r="134" spans="15:73" x14ac:dyDescent="0.2"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7"/>
      <c r="BQ134" s="127"/>
      <c r="BR134" s="127"/>
      <c r="BS134" s="127"/>
      <c r="BT134" s="127"/>
      <c r="BU134" s="127"/>
    </row>
    <row r="135" spans="15:73" x14ac:dyDescent="0.2"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27"/>
      <c r="BS135" s="127"/>
      <c r="BT135" s="127"/>
      <c r="BU135" s="127"/>
    </row>
    <row r="136" spans="15:73" x14ac:dyDescent="0.2"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/>
      <c r="BU136" s="127"/>
    </row>
    <row r="137" spans="15:73" x14ac:dyDescent="0.2"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/>
      <c r="BU137" s="127"/>
    </row>
    <row r="138" spans="15:73" x14ac:dyDescent="0.2"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  <c r="BO138" s="127"/>
      <c r="BP138" s="127"/>
      <c r="BQ138" s="127"/>
      <c r="BR138" s="127"/>
      <c r="BS138" s="127"/>
      <c r="BT138" s="127"/>
      <c r="BU138" s="127"/>
    </row>
    <row r="139" spans="15:73" x14ac:dyDescent="0.2"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  <c r="BO139" s="127"/>
      <c r="BP139" s="127"/>
      <c r="BQ139" s="127"/>
      <c r="BR139" s="127"/>
      <c r="BS139" s="127"/>
      <c r="BT139" s="127"/>
      <c r="BU139" s="127"/>
    </row>
    <row r="140" spans="15:73" x14ac:dyDescent="0.2"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7"/>
      <c r="BP140" s="127"/>
      <c r="BQ140" s="127"/>
      <c r="BR140" s="127"/>
      <c r="BS140" s="127"/>
      <c r="BT140" s="127"/>
      <c r="BU140" s="127"/>
    </row>
    <row r="141" spans="15:73" x14ac:dyDescent="0.2"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</row>
    <row r="142" spans="15:73" x14ac:dyDescent="0.2"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</row>
    <row r="143" spans="15:73" x14ac:dyDescent="0.2"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</row>
    <row r="144" spans="15:73" x14ac:dyDescent="0.2"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</row>
    <row r="145" spans="15:73" x14ac:dyDescent="0.2"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</row>
    <row r="146" spans="15:73" x14ac:dyDescent="0.2"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</row>
    <row r="147" spans="15:73" x14ac:dyDescent="0.2"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</row>
    <row r="148" spans="15:73" x14ac:dyDescent="0.2"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</row>
    <row r="149" spans="15:73" x14ac:dyDescent="0.2"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</row>
    <row r="150" spans="15:73" x14ac:dyDescent="0.2"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</row>
    <row r="151" spans="15:73" x14ac:dyDescent="0.2"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</row>
    <row r="152" spans="15:73" x14ac:dyDescent="0.2"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</row>
    <row r="153" spans="15:73" x14ac:dyDescent="0.2"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</row>
    <row r="154" spans="15:73" x14ac:dyDescent="0.2"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</row>
    <row r="155" spans="15:73" x14ac:dyDescent="0.2"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</row>
    <row r="156" spans="15:73" x14ac:dyDescent="0.2"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7"/>
      <c r="BR156" s="127"/>
      <c r="BS156" s="127"/>
      <c r="BT156" s="127"/>
      <c r="BU156" s="127"/>
    </row>
    <row r="157" spans="15:73" x14ac:dyDescent="0.2"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</row>
    <row r="158" spans="15:73" x14ac:dyDescent="0.2"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/>
      <c r="BU158" s="127"/>
    </row>
    <row r="159" spans="15:73" x14ac:dyDescent="0.2"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</row>
    <row r="160" spans="15:73" x14ac:dyDescent="0.2"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</row>
    <row r="161" spans="15:73" x14ac:dyDescent="0.2"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  <c r="BO161" s="127"/>
      <c r="BP161" s="127"/>
      <c r="BQ161" s="127"/>
      <c r="BR161" s="127"/>
      <c r="BS161" s="127"/>
      <c r="BT161" s="127"/>
      <c r="BU161" s="127"/>
    </row>
    <row r="162" spans="15:73" x14ac:dyDescent="0.2"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</row>
    <row r="163" spans="15:73" x14ac:dyDescent="0.2"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/>
      <c r="BU163" s="127"/>
    </row>
    <row r="164" spans="15:73" x14ac:dyDescent="0.2"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7"/>
      <c r="BR164" s="127"/>
      <c r="BS164" s="127"/>
      <c r="BT164" s="127"/>
      <c r="BU164" s="127"/>
    </row>
    <row r="165" spans="15:73" x14ac:dyDescent="0.2"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P165" s="127"/>
      <c r="BQ165" s="127"/>
      <c r="BR165" s="127"/>
      <c r="BS165" s="127"/>
      <c r="BT165" s="127"/>
      <c r="BU165" s="127"/>
    </row>
    <row r="166" spans="15:73" x14ac:dyDescent="0.2"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/>
      <c r="BU166" s="127"/>
    </row>
    <row r="167" spans="15:73" x14ac:dyDescent="0.2"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27"/>
      <c r="BN167" s="127"/>
      <c r="BO167" s="127"/>
      <c r="BP167" s="127"/>
      <c r="BQ167" s="127"/>
      <c r="BR167" s="127"/>
      <c r="BS167" s="127"/>
      <c r="BT167" s="127"/>
      <c r="BU167" s="127"/>
    </row>
    <row r="168" spans="15:73" x14ac:dyDescent="0.2"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</row>
    <row r="169" spans="15:73" x14ac:dyDescent="0.2"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</row>
    <row r="170" spans="15:73" x14ac:dyDescent="0.2"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/>
      <c r="BQ170" s="127"/>
      <c r="BR170" s="127"/>
      <c r="BS170" s="127"/>
      <c r="BT170" s="127"/>
      <c r="BU170" s="127"/>
    </row>
    <row r="171" spans="15:73" x14ac:dyDescent="0.2"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</row>
    <row r="172" spans="15:73" x14ac:dyDescent="0.2"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7"/>
      <c r="BP172" s="127"/>
      <c r="BQ172" s="127"/>
      <c r="BR172" s="127"/>
      <c r="BS172" s="127"/>
      <c r="BT172" s="127"/>
      <c r="BU172" s="127"/>
    </row>
    <row r="173" spans="15:73" x14ac:dyDescent="0.2"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</row>
    <row r="174" spans="15:73" x14ac:dyDescent="0.2"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/>
      <c r="BQ174" s="127"/>
      <c r="BR174" s="127"/>
      <c r="BS174" s="127"/>
      <c r="BT174" s="127"/>
      <c r="BU174" s="127"/>
    </row>
    <row r="175" spans="15:73" x14ac:dyDescent="0.2"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/>
      <c r="BU175" s="127"/>
    </row>
    <row r="176" spans="15:73" x14ac:dyDescent="0.2"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7"/>
      <c r="BR176" s="127"/>
      <c r="BS176" s="127"/>
      <c r="BT176" s="127"/>
      <c r="BU176" s="127"/>
    </row>
    <row r="177" spans="15:73" x14ac:dyDescent="0.2"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  <c r="BO177" s="127"/>
      <c r="BP177" s="127"/>
      <c r="BQ177" s="127"/>
      <c r="BR177" s="127"/>
      <c r="BS177" s="127"/>
      <c r="BT177" s="127"/>
      <c r="BU177" s="127"/>
    </row>
    <row r="178" spans="15:73" x14ac:dyDescent="0.2"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7"/>
      <c r="BP178" s="127"/>
      <c r="BQ178" s="127"/>
      <c r="BR178" s="127"/>
      <c r="BS178" s="127"/>
      <c r="BT178" s="127"/>
      <c r="BU178" s="127"/>
    </row>
    <row r="179" spans="15:73" x14ac:dyDescent="0.2"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  <c r="BR179" s="127"/>
      <c r="BS179" s="127"/>
      <c r="BT179" s="127"/>
      <c r="BU179" s="127"/>
    </row>
    <row r="180" spans="15:73" x14ac:dyDescent="0.2"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 s="127"/>
      <c r="BR180" s="127"/>
      <c r="BS180" s="127"/>
      <c r="BT180" s="127"/>
      <c r="BU180" s="127"/>
    </row>
    <row r="181" spans="15:73" x14ac:dyDescent="0.2"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</row>
    <row r="182" spans="15:73" x14ac:dyDescent="0.2"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</row>
    <row r="183" spans="15:73" x14ac:dyDescent="0.2"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</row>
    <row r="184" spans="15:73" x14ac:dyDescent="0.2"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</row>
    <row r="185" spans="15:73" x14ac:dyDescent="0.2"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</row>
    <row r="186" spans="15:73" x14ac:dyDescent="0.2"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</row>
    <row r="187" spans="15:73" x14ac:dyDescent="0.2"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</row>
    <row r="188" spans="15:73" x14ac:dyDescent="0.2"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7"/>
      <c r="BR188" s="127"/>
      <c r="BS188" s="127"/>
      <c r="BT188" s="127"/>
      <c r="BU188" s="127"/>
    </row>
    <row r="189" spans="15:73" x14ac:dyDescent="0.2"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7"/>
      <c r="BQ189" s="127"/>
      <c r="BR189" s="127"/>
      <c r="BS189" s="127"/>
      <c r="BT189" s="127"/>
      <c r="BU189" s="127"/>
    </row>
    <row r="190" spans="15:73" x14ac:dyDescent="0.2"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/>
      <c r="BR190" s="127"/>
      <c r="BS190" s="127"/>
      <c r="BT190" s="127"/>
      <c r="BU190" s="127"/>
    </row>
    <row r="191" spans="15:73" x14ac:dyDescent="0.2"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7"/>
      <c r="BR191" s="127"/>
      <c r="BS191" s="127"/>
      <c r="BT191" s="127"/>
      <c r="BU191" s="127"/>
    </row>
    <row r="192" spans="15:73" x14ac:dyDescent="0.2"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  <c r="BO192" s="127"/>
      <c r="BP192" s="127"/>
      <c r="BQ192" s="127"/>
      <c r="BR192" s="127"/>
      <c r="BS192" s="127"/>
      <c r="BT192" s="127"/>
      <c r="BU192" s="127"/>
    </row>
    <row r="193" spans="15:73" x14ac:dyDescent="0.2"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/>
      <c r="BU193" s="127"/>
    </row>
    <row r="194" spans="15:73" x14ac:dyDescent="0.2"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</row>
    <row r="195" spans="15:73" x14ac:dyDescent="0.2"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</row>
    <row r="196" spans="15:73" x14ac:dyDescent="0.2"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7"/>
      <c r="BQ196" s="127"/>
      <c r="BR196" s="127"/>
      <c r="BS196" s="127"/>
      <c r="BT196" s="127"/>
      <c r="BU196" s="127"/>
    </row>
    <row r="197" spans="15:73" x14ac:dyDescent="0.2"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/>
      <c r="BQ197" s="127"/>
      <c r="BR197" s="127"/>
      <c r="BS197" s="127"/>
      <c r="BT197" s="127"/>
      <c r="BU197" s="127"/>
    </row>
    <row r="198" spans="15:73" x14ac:dyDescent="0.2"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</row>
    <row r="199" spans="15:73" x14ac:dyDescent="0.2"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  <c r="BO199" s="127"/>
      <c r="BP199" s="127"/>
      <c r="BQ199" s="127"/>
      <c r="BR199" s="127"/>
      <c r="BS199" s="127"/>
      <c r="BT199" s="127"/>
      <c r="BU199" s="127"/>
    </row>
    <row r="200" spans="15:73" x14ac:dyDescent="0.2"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  <c r="BO200" s="127"/>
      <c r="BP200" s="127"/>
      <c r="BQ200" s="127"/>
      <c r="BR200" s="127"/>
      <c r="BS200" s="127"/>
      <c r="BT200" s="127"/>
      <c r="BU200" s="127"/>
    </row>
    <row r="201" spans="15:73" x14ac:dyDescent="0.2"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</row>
    <row r="202" spans="15:73" x14ac:dyDescent="0.2"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7"/>
      <c r="BP202" s="127"/>
      <c r="BQ202" s="127"/>
      <c r="BR202" s="127"/>
      <c r="BS202" s="127"/>
      <c r="BT202" s="127"/>
      <c r="BU202" s="127"/>
    </row>
    <row r="203" spans="15:73" x14ac:dyDescent="0.2"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</row>
    <row r="204" spans="15:73" x14ac:dyDescent="0.2"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7"/>
      <c r="BP204" s="127"/>
      <c r="BQ204" s="127"/>
      <c r="BR204" s="127"/>
      <c r="BS204" s="127"/>
      <c r="BT204" s="127"/>
      <c r="BU204" s="127"/>
    </row>
    <row r="205" spans="15:73" x14ac:dyDescent="0.2"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</row>
    <row r="206" spans="15:73" x14ac:dyDescent="0.2"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/>
      <c r="BP206" s="127"/>
      <c r="BQ206" s="127"/>
      <c r="BR206" s="127"/>
      <c r="BS206" s="127"/>
      <c r="BT206" s="127"/>
      <c r="BU206" s="127"/>
    </row>
    <row r="207" spans="15:73" x14ac:dyDescent="0.2"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</row>
    <row r="208" spans="15:73" x14ac:dyDescent="0.2"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</row>
    <row r="209" spans="15:73" x14ac:dyDescent="0.2"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</row>
    <row r="210" spans="15:73" x14ac:dyDescent="0.2"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</row>
    <row r="211" spans="15:73" x14ac:dyDescent="0.2"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</row>
    <row r="212" spans="15:73" x14ac:dyDescent="0.2"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</row>
    <row r="213" spans="15:73" x14ac:dyDescent="0.2"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</row>
    <row r="214" spans="15:73" x14ac:dyDescent="0.2"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27"/>
      <c r="BQ214" s="127"/>
      <c r="BR214" s="127"/>
      <c r="BS214" s="127"/>
      <c r="BT214" s="127"/>
      <c r="BU214" s="127"/>
    </row>
    <row r="215" spans="15:73" x14ac:dyDescent="0.2"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/>
      <c r="BQ215" s="127"/>
      <c r="BR215" s="127"/>
      <c r="BS215" s="127"/>
      <c r="BT215" s="127"/>
      <c r="BU215" s="127"/>
    </row>
    <row r="216" spans="15:73" x14ac:dyDescent="0.2"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</row>
    <row r="217" spans="15:73" x14ac:dyDescent="0.2"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/>
      <c r="BS217" s="127"/>
      <c r="BT217" s="127"/>
      <c r="BU217" s="127"/>
    </row>
    <row r="218" spans="15:73" x14ac:dyDescent="0.2"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</row>
    <row r="219" spans="15:73" x14ac:dyDescent="0.2"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</row>
    <row r="220" spans="15:73" x14ac:dyDescent="0.2"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/>
      <c r="BU220" s="127"/>
    </row>
    <row r="221" spans="15:73" x14ac:dyDescent="0.2"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7"/>
      <c r="BS221" s="127"/>
      <c r="BT221" s="127"/>
      <c r="BU221" s="127"/>
    </row>
    <row r="222" spans="15:73" x14ac:dyDescent="0.2"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7"/>
      <c r="BS222" s="127"/>
      <c r="BT222" s="127"/>
      <c r="BU222" s="127"/>
    </row>
    <row r="223" spans="15:73" x14ac:dyDescent="0.2"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7"/>
      <c r="BS223" s="127"/>
      <c r="BT223" s="127"/>
      <c r="BU223" s="127"/>
    </row>
    <row r="224" spans="15:73" x14ac:dyDescent="0.2"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</row>
    <row r="225" spans="15:73" x14ac:dyDescent="0.2"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</row>
    <row r="226" spans="15:73" x14ac:dyDescent="0.2"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</row>
    <row r="227" spans="15:73" x14ac:dyDescent="0.2"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</row>
    <row r="228" spans="15:73" x14ac:dyDescent="0.2"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/>
      <c r="BU228" s="127"/>
    </row>
    <row r="229" spans="15:73" x14ac:dyDescent="0.2"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</row>
    <row r="230" spans="15:73" x14ac:dyDescent="0.2"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/>
      <c r="BQ230" s="127"/>
      <c r="BR230" s="127"/>
      <c r="BS230" s="127"/>
      <c r="BT230" s="127"/>
      <c r="BU230" s="127"/>
    </row>
    <row r="231" spans="15:73" x14ac:dyDescent="0.2"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7"/>
    </row>
    <row r="232" spans="15:73" x14ac:dyDescent="0.2"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/>
      <c r="BQ232" s="127"/>
      <c r="BR232" s="127"/>
      <c r="BS232" s="127"/>
      <c r="BT232" s="127"/>
      <c r="BU232" s="127"/>
    </row>
    <row r="233" spans="15:73" x14ac:dyDescent="0.2"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</row>
    <row r="234" spans="15:73" x14ac:dyDescent="0.2"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</row>
    <row r="235" spans="15:73" x14ac:dyDescent="0.2"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</row>
    <row r="236" spans="15:73" x14ac:dyDescent="0.2"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</row>
    <row r="237" spans="15:73" x14ac:dyDescent="0.2"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</row>
    <row r="238" spans="15:73" x14ac:dyDescent="0.2"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7"/>
    </row>
    <row r="239" spans="15:73" x14ac:dyDescent="0.2"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7"/>
      <c r="BQ239" s="127"/>
      <c r="BR239" s="127"/>
      <c r="BS239" s="127"/>
      <c r="BT239" s="127"/>
      <c r="BU239" s="127"/>
    </row>
    <row r="240" spans="15:73" x14ac:dyDescent="0.2"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  <c r="BO240" s="127"/>
      <c r="BP240" s="127"/>
      <c r="BQ240" s="127"/>
      <c r="BR240" s="127"/>
      <c r="BS240" s="127"/>
      <c r="BT240" s="127"/>
      <c r="BU240" s="127"/>
    </row>
    <row r="241" spans="15:73" x14ac:dyDescent="0.2"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</row>
    <row r="242" spans="15:73" x14ac:dyDescent="0.2"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</row>
    <row r="243" spans="15:73" x14ac:dyDescent="0.2"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7"/>
      <c r="BS243" s="127"/>
      <c r="BT243" s="127"/>
      <c r="BU243" s="127"/>
    </row>
    <row r="244" spans="15:73" x14ac:dyDescent="0.2"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</row>
    <row r="245" spans="15:73" x14ac:dyDescent="0.2"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</row>
    <row r="246" spans="15:73" x14ac:dyDescent="0.2"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</row>
    <row r="247" spans="15:73" x14ac:dyDescent="0.2"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</row>
    <row r="248" spans="15:73" x14ac:dyDescent="0.2"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</row>
    <row r="249" spans="15:73" x14ac:dyDescent="0.2"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</row>
    <row r="250" spans="15:73" x14ac:dyDescent="0.2"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</row>
    <row r="251" spans="15:73" x14ac:dyDescent="0.2"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/>
      <c r="BS251" s="127"/>
      <c r="BT251" s="127"/>
      <c r="BU251" s="127"/>
    </row>
    <row r="252" spans="15:73" x14ac:dyDescent="0.2"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</row>
    <row r="253" spans="15:73" x14ac:dyDescent="0.2"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</row>
    <row r="254" spans="15:73" x14ac:dyDescent="0.2"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/>
      <c r="BU254" s="127"/>
    </row>
    <row r="255" spans="15:73" x14ac:dyDescent="0.2"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</row>
    <row r="256" spans="15:73" x14ac:dyDescent="0.2"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</row>
    <row r="257" spans="15:73" x14ac:dyDescent="0.2"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</row>
    <row r="258" spans="15:73" x14ac:dyDescent="0.2"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/>
      <c r="BQ258" s="127"/>
      <c r="BR258" s="127"/>
      <c r="BS258" s="127"/>
      <c r="BT258" s="127"/>
      <c r="BU258" s="127"/>
    </row>
    <row r="259" spans="15:73" x14ac:dyDescent="0.2"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</row>
    <row r="260" spans="15:73" x14ac:dyDescent="0.2"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</row>
    <row r="261" spans="15:73" x14ac:dyDescent="0.2"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</row>
    <row r="262" spans="15:73" x14ac:dyDescent="0.2"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7"/>
      <c r="BP262" s="127"/>
      <c r="BQ262" s="127"/>
      <c r="BR262" s="127"/>
      <c r="BS262" s="127"/>
      <c r="BT262" s="127"/>
      <c r="BU262" s="127"/>
    </row>
    <row r="263" spans="15:73" x14ac:dyDescent="0.2"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</row>
    <row r="264" spans="15:73" x14ac:dyDescent="0.2"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</row>
    <row r="265" spans="15:73" x14ac:dyDescent="0.2"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</row>
    <row r="266" spans="15:73" x14ac:dyDescent="0.2"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7"/>
      <c r="BS266" s="127"/>
      <c r="BT266" s="127"/>
      <c r="BU266" s="127"/>
    </row>
    <row r="267" spans="15:73" x14ac:dyDescent="0.2"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/>
      <c r="BS267" s="127"/>
      <c r="BT267" s="127"/>
      <c r="BU267" s="127"/>
    </row>
    <row r="268" spans="15:73" x14ac:dyDescent="0.2"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7"/>
      <c r="BS268" s="127"/>
      <c r="BT268" s="127"/>
      <c r="BU268" s="127"/>
    </row>
    <row r="269" spans="15:73" x14ac:dyDescent="0.2"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7"/>
      <c r="BS269" s="127"/>
      <c r="BT269" s="127"/>
      <c r="BU269" s="127"/>
    </row>
    <row r="270" spans="15:73" x14ac:dyDescent="0.2"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/>
      <c r="BT270" s="127"/>
      <c r="BU270" s="127"/>
    </row>
    <row r="271" spans="15:73" x14ac:dyDescent="0.2"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/>
      <c r="BQ271" s="127"/>
      <c r="BR271" s="127"/>
      <c r="BS271" s="127"/>
      <c r="BT271" s="127"/>
      <c r="BU271" s="127"/>
    </row>
    <row r="272" spans="15:73" x14ac:dyDescent="0.2"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</row>
    <row r="273" spans="15:73" x14ac:dyDescent="0.2"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</row>
    <row r="274" spans="15:73" x14ac:dyDescent="0.2"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</row>
    <row r="275" spans="15:73" x14ac:dyDescent="0.2"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  <c r="BO275" s="127"/>
      <c r="BP275" s="127"/>
      <c r="BQ275" s="127"/>
      <c r="BR275" s="127"/>
      <c r="BS275" s="127"/>
      <c r="BT275" s="127"/>
      <c r="BU275" s="127"/>
    </row>
    <row r="276" spans="15:73" x14ac:dyDescent="0.2"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/>
      <c r="BU276" s="127"/>
    </row>
    <row r="277" spans="15:73" x14ac:dyDescent="0.2"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</row>
    <row r="278" spans="15:73" x14ac:dyDescent="0.2"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7"/>
      <c r="BQ278" s="127"/>
      <c r="BR278" s="127"/>
      <c r="BS278" s="127"/>
      <c r="BT278" s="127"/>
      <c r="BU278" s="127"/>
    </row>
    <row r="279" spans="15:73" x14ac:dyDescent="0.2"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/>
      <c r="BR279" s="127"/>
      <c r="BS279" s="127"/>
      <c r="BT279" s="127"/>
      <c r="BU279" s="127"/>
    </row>
    <row r="280" spans="15:73" x14ac:dyDescent="0.2"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/>
      <c r="BR280" s="127"/>
      <c r="BS280" s="127"/>
      <c r="BT280" s="127"/>
      <c r="BU280" s="127"/>
    </row>
    <row r="281" spans="15:73" x14ac:dyDescent="0.2"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/>
      <c r="BP281" s="127"/>
      <c r="BQ281" s="127"/>
      <c r="BR281" s="127"/>
      <c r="BS281" s="127"/>
      <c r="BT281" s="127"/>
      <c r="BU281" s="127"/>
    </row>
    <row r="282" spans="15:73" x14ac:dyDescent="0.2"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  <c r="BO282" s="127"/>
      <c r="BP282" s="127"/>
      <c r="BQ282" s="127"/>
      <c r="BR282" s="127"/>
      <c r="BS282" s="127"/>
      <c r="BT282" s="127"/>
      <c r="BU282" s="127"/>
    </row>
    <row r="283" spans="15:73" x14ac:dyDescent="0.2"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7"/>
      <c r="BS283" s="127"/>
      <c r="BT283" s="127"/>
      <c r="BU283" s="127"/>
    </row>
    <row r="284" spans="15:73" x14ac:dyDescent="0.2"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7"/>
      <c r="BR284" s="127"/>
      <c r="BS284" s="127"/>
      <c r="BT284" s="127"/>
      <c r="BU284" s="127"/>
    </row>
    <row r="285" spans="15:73" x14ac:dyDescent="0.2"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7"/>
      <c r="BP285" s="127"/>
      <c r="BQ285" s="127"/>
      <c r="BR285" s="127"/>
      <c r="BS285" s="127"/>
      <c r="BT285" s="127"/>
      <c r="BU285" s="127"/>
    </row>
    <row r="286" spans="15:73" x14ac:dyDescent="0.2"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</row>
    <row r="287" spans="15:73" x14ac:dyDescent="0.2"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</row>
    <row r="288" spans="15:73" x14ac:dyDescent="0.2"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</row>
    <row r="289" spans="15:73" x14ac:dyDescent="0.2"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7"/>
      <c r="BQ289" s="127"/>
      <c r="BR289" s="127"/>
      <c r="BS289" s="127"/>
      <c r="BT289" s="127"/>
      <c r="BU289" s="127"/>
    </row>
    <row r="290" spans="15:73" x14ac:dyDescent="0.2"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7"/>
      <c r="BS290" s="127"/>
      <c r="BT290" s="127"/>
      <c r="BU290" s="127"/>
    </row>
    <row r="291" spans="15:73" x14ac:dyDescent="0.2"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7"/>
      <c r="BR291" s="127"/>
      <c r="BS291" s="127"/>
      <c r="BT291" s="127"/>
      <c r="BU291" s="127"/>
    </row>
    <row r="292" spans="15:73" x14ac:dyDescent="0.2"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7"/>
      <c r="BQ292" s="127"/>
      <c r="BR292" s="127"/>
      <c r="BS292" s="127"/>
      <c r="BT292" s="127"/>
      <c r="BU292" s="127"/>
    </row>
    <row r="293" spans="15:73" x14ac:dyDescent="0.2"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/>
      <c r="BQ293" s="127"/>
      <c r="BR293" s="127"/>
      <c r="BS293" s="127"/>
      <c r="BT293" s="127"/>
      <c r="BU293" s="127"/>
    </row>
    <row r="294" spans="15:73" x14ac:dyDescent="0.2"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7"/>
      <c r="BQ294" s="127"/>
      <c r="BR294" s="127"/>
      <c r="BS294" s="127"/>
      <c r="BT294" s="127"/>
      <c r="BU294" s="127"/>
    </row>
    <row r="295" spans="15:73" x14ac:dyDescent="0.2"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/>
      <c r="BQ295" s="127"/>
      <c r="BR295" s="127"/>
      <c r="BS295" s="127"/>
      <c r="BT295" s="127"/>
      <c r="BU295" s="127"/>
    </row>
    <row r="296" spans="15:73" x14ac:dyDescent="0.2"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/>
      <c r="BP296" s="127"/>
      <c r="BQ296" s="127"/>
      <c r="BR296" s="127"/>
      <c r="BS296" s="127"/>
      <c r="BT296" s="127"/>
      <c r="BU296" s="127"/>
    </row>
    <row r="297" spans="15:73" x14ac:dyDescent="0.2"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/>
      <c r="BQ297" s="127"/>
      <c r="BR297" s="127"/>
      <c r="BS297" s="127"/>
      <c r="BT297" s="127"/>
      <c r="BU297" s="127"/>
    </row>
    <row r="298" spans="15:73" x14ac:dyDescent="0.2"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</row>
    <row r="299" spans="15:73" x14ac:dyDescent="0.2"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</row>
    <row r="300" spans="15:73" x14ac:dyDescent="0.2"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</row>
    <row r="301" spans="15:73" x14ac:dyDescent="0.2"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/>
      <c r="BU301" s="127"/>
    </row>
    <row r="302" spans="15:73" x14ac:dyDescent="0.2"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7"/>
      <c r="BQ302" s="127"/>
      <c r="BR302" s="127"/>
      <c r="BS302" s="127"/>
      <c r="BT302" s="127"/>
      <c r="BU302" s="127"/>
    </row>
    <row r="303" spans="15:73" x14ac:dyDescent="0.2"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  <c r="BO303" s="127"/>
      <c r="BP303" s="127"/>
      <c r="BQ303" s="127"/>
      <c r="BR303" s="127"/>
      <c r="BS303" s="127"/>
      <c r="BT303" s="127"/>
      <c r="BU303" s="127"/>
    </row>
    <row r="304" spans="15:73" x14ac:dyDescent="0.2"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7"/>
      <c r="BQ304" s="127"/>
      <c r="BR304" s="127"/>
      <c r="BS304" s="127"/>
      <c r="BT304" s="127"/>
      <c r="BU304" s="127"/>
    </row>
    <row r="305" spans="15:73" x14ac:dyDescent="0.2"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7"/>
      <c r="BQ305" s="127"/>
      <c r="BR305" s="127"/>
      <c r="BS305" s="127"/>
      <c r="BT305" s="127"/>
      <c r="BU305" s="127"/>
    </row>
    <row r="306" spans="15:73" x14ac:dyDescent="0.2"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7"/>
      <c r="BQ306" s="127"/>
      <c r="BR306" s="127"/>
      <c r="BS306" s="127"/>
      <c r="BT306" s="127"/>
      <c r="BU306" s="127"/>
    </row>
    <row r="307" spans="15:73" x14ac:dyDescent="0.2"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  <c r="BO307" s="127"/>
      <c r="BP307" s="127"/>
      <c r="BQ307" s="127"/>
      <c r="BR307" s="127"/>
      <c r="BS307" s="127"/>
      <c r="BT307" s="127"/>
      <c r="BU307" s="127"/>
    </row>
    <row r="308" spans="15:73" x14ac:dyDescent="0.2"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7"/>
      <c r="BQ308" s="127"/>
      <c r="BR308" s="127"/>
      <c r="BS308" s="127"/>
      <c r="BT308" s="127"/>
      <c r="BU308" s="127"/>
    </row>
    <row r="309" spans="15:73" x14ac:dyDescent="0.2"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</row>
    <row r="310" spans="15:73" x14ac:dyDescent="0.2"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/>
      <c r="BS310" s="127"/>
      <c r="BT310" s="127"/>
      <c r="BU310" s="127"/>
    </row>
    <row r="311" spans="15:73" x14ac:dyDescent="0.2"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7"/>
      <c r="BQ311" s="127"/>
      <c r="BR311" s="127"/>
      <c r="BS311" s="127"/>
      <c r="BT311" s="127"/>
      <c r="BU311" s="127"/>
    </row>
    <row r="312" spans="15:73" x14ac:dyDescent="0.2"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/>
      <c r="BQ312" s="127"/>
      <c r="BR312" s="127"/>
      <c r="BS312" s="127"/>
      <c r="BT312" s="127"/>
      <c r="BU312" s="127"/>
    </row>
    <row r="313" spans="15:73" x14ac:dyDescent="0.2"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</row>
    <row r="314" spans="15:73" x14ac:dyDescent="0.2"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  <c r="BS314" s="127"/>
      <c r="BT314" s="127"/>
      <c r="BU314" s="127"/>
    </row>
    <row r="315" spans="15:73" x14ac:dyDescent="0.2"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7"/>
      <c r="BR315" s="127"/>
      <c r="BS315" s="127"/>
      <c r="BT315" s="127"/>
      <c r="BU315" s="127"/>
    </row>
    <row r="316" spans="15:73" x14ac:dyDescent="0.2"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7"/>
      <c r="BQ316" s="127"/>
      <c r="BR316" s="127"/>
      <c r="BS316" s="127"/>
      <c r="BT316" s="127"/>
      <c r="BU316" s="127"/>
    </row>
    <row r="317" spans="15:73" x14ac:dyDescent="0.2"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</row>
    <row r="318" spans="15:73" x14ac:dyDescent="0.2"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</row>
    <row r="319" spans="15:73" x14ac:dyDescent="0.2"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7"/>
      <c r="BQ319" s="127"/>
      <c r="BR319" s="127"/>
      <c r="BS319" s="127"/>
      <c r="BT319" s="127"/>
      <c r="BU319" s="127"/>
    </row>
    <row r="320" spans="15:73" x14ac:dyDescent="0.2"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</row>
    <row r="321" spans="15:73" x14ac:dyDescent="0.2"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</row>
    <row r="322" spans="15:73" x14ac:dyDescent="0.2"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/>
      <c r="BR322" s="127"/>
      <c r="BS322" s="127"/>
      <c r="BT322" s="127"/>
      <c r="BU322" s="127"/>
    </row>
    <row r="323" spans="15:73" x14ac:dyDescent="0.2"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</row>
    <row r="324" spans="15:73" x14ac:dyDescent="0.2"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</row>
    <row r="325" spans="15:73" x14ac:dyDescent="0.2"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</row>
    <row r="326" spans="15:73" x14ac:dyDescent="0.2"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</row>
    <row r="327" spans="15:73" x14ac:dyDescent="0.2"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/>
      <c r="BU327" s="127"/>
    </row>
    <row r="328" spans="15:73" x14ac:dyDescent="0.2"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</row>
    <row r="329" spans="15:73" x14ac:dyDescent="0.2"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</row>
    <row r="330" spans="15:73" x14ac:dyDescent="0.2"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</row>
    <row r="331" spans="15:73" x14ac:dyDescent="0.2"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</row>
    <row r="332" spans="15:73" x14ac:dyDescent="0.2"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</row>
    <row r="333" spans="15:73" x14ac:dyDescent="0.2"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7"/>
      <c r="BP333" s="127"/>
      <c r="BQ333" s="127"/>
      <c r="BR333" s="127"/>
      <c r="BS333" s="127"/>
      <c r="BT333" s="127"/>
      <c r="BU333" s="127"/>
    </row>
    <row r="334" spans="15:73" x14ac:dyDescent="0.2"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</row>
    <row r="335" spans="15:73" x14ac:dyDescent="0.2"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</row>
    <row r="336" spans="15:73" x14ac:dyDescent="0.2"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</row>
    <row r="337" spans="15:73" x14ac:dyDescent="0.2"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</row>
    <row r="338" spans="15:73" x14ac:dyDescent="0.2"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</row>
    <row r="339" spans="15:73" x14ac:dyDescent="0.2"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</row>
    <row r="340" spans="15:73" x14ac:dyDescent="0.2"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</row>
    <row r="341" spans="15:73" x14ac:dyDescent="0.2"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</row>
    <row r="342" spans="15:73" x14ac:dyDescent="0.2"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</row>
    <row r="343" spans="15:73" x14ac:dyDescent="0.2"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</row>
    <row r="344" spans="15:73" x14ac:dyDescent="0.2"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</row>
    <row r="345" spans="15:73" x14ac:dyDescent="0.2"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</row>
    <row r="346" spans="15:73" x14ac:dyDescent="0.2"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/>
      <c r="BQ346" s="127"/>
      <c r="BR346" s="127"/>
      <c r="BS346" s="127"/>
      <c r="BT346" s="127"/>
      <c r="BU346" s="127"/>
    </row>
    <row r="347" spans="15:73" x14ac:dyDescent="0.2"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</row>
    <row r="348" spans="15:73" x14ac:dyDescent="0.2"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</row>
    <row r="349" spans="15:73" x14ac:dyDescent="0.2"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</row>
    <row r="350" spans="15:73" x14ac:dyDescent="0.2"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</row>
    <row r="351" spans="15:73" x14ac:dyDescent="0.2"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</row>
    <row r="352" spans="15:73" x14ac:dyDescent="0.2"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</row>
    <row r="353" spans="15:73" x14ac:dyDescent="0.2"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</row>
    <row r="354" spans="15:73" x14ac:dyDescent="0.2"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/>
      <c r="BU354" s="127"/>
    </row>
    <row r="355" spans="15:73" x14ac:dyDescent="0.2"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7"/>
      <c r="BS355" s="127"/>
      <c r="BT355" s="127"/>
      <c r="BU355" s="127"/>
    </row>
    <row r="356" spans="15:73" x14ac:dyDescent="0.2"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</row>
    <row r="357" spans="15:73" x14ac:dyDescent="0.2"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/>
      <c r="BS357" s="127"/>
      <c r="BT357" s="127"/>
      <c r="BU357" s="127"/>
    </row>
    <row r="358" spans="15:73" x14ac:dyDescent="0.2"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7"/>
      <c r="BQ358" s="127"/>
      <c r="BR358" s="127"/>
      <c r="BS358" s="127"/>
      <c r="BT358" s="127"/>
      <c r="BU358" s="127"/>
    </row>
    <row r="359" spans="15:73" x14ac:dyDescent="0.2"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7"/>
      <c r="BS359" s="127"/>
      <c r="BT359" s="127"/>
      <c r="BU359" s="127"/>
    </row>
    <row r="360" spans="15:73" x14ac:dyDescent="0.2"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7"/>
      <c r="BS360" s="127"/>
      <c r="BT360" s="127"/>
      <c r="BU360" s="127"/>
    </row>
    <row r="361" spans="15:73" x14ac:dyDescent="0.2"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7"/>
      <c r="BQ361" s="127"/>
      <c r="BR361" s="127"/>
      <c r="BS361" s="127"/>
      <c r="BT361" s="127"/>
      <c r="BU361" s="127"/>
    </row>
    <row r="362" spans="15:73" x14ac:dyDescent="0.2"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7"/>
      <c r="BQ362" s="127"/>
      <c r="BR362" s="127"/>
      <c r="BS362" s="127"/>
      <c r="BT362" s="127"/>
      <c r="BU362" s="127"/>
    </row>
    <row r="363" spans="15:73" x14ac:dyDescent="0.2"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/>
      <c r="BR363" s="127"/>
      <c r="BS363" s="127"/>
      <c r="BT363" s="127"/>
      <c r="BU363" s="127"/>
    </row>
    <row r="364" spans="15:73" x14ac:dyDescent="0.2"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7"/>
      <c r="BQ364" s="127"/>
      <c r="BR364" s="127"/>
      <c r="BS364" s="127"/>
      <c r="BT364" s="127"/>
      <c r="BU364" s="127"/>
    </row>
    <row r="365" spans="15:73" x14ac:dyDescent="0.2"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</row>
    <row r="366" spans="15:73" x14ac:dyDescent="0.2"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</row>
    <row r="367" spans="15:73" x14ac:dyDescent="0.2"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7"/>
      <c r="BS367" s="127"/>
      <c r="BT367" s="127"/>
      <c r="BU367" s="127"/>
    </row>
    <row r="368" spans="15:73" x14ac:dyDescent="0.2"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/>
      <c r="BU368" s="127"/>
    </row>
    <row r="369" spans="15:73" x14ac:dyDescent="0.2"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</row>
    <row r="370" spans="15:73" x14ac:dyDescent="0.2"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</row>
    <row r="371" spans="15:73" x14ac:dyDescent="0.2"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</row>
    <row r="372" spans="15:73" x14ac:dyDescent="0.2"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</row>
    <row r="373" spans="15:73" x14ac:dyDescent="0.2"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/>
      <c r="BQ373" s="127"/>
      <c r="BR373" s="127"/>
      <c r="BS373" s="127"/>
      <c r="BT373" s="127"/>
      <c r="BU373" s="127"/>
    </row>
    <row r="374" spans="15:73" x14ac:dyDescent="0.2"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</row>
    <row r="375" spans="15:73" x14ac:dyDescent="0.2"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7"/>
      <c r="BS375" s="127"/>
      <c r="BT375" s="127"/>
      <c r="BU375" s="127"/>
    </row>
    <row r="376" spans="15:73" x14ac:dyDescent="0.2"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  <c r="BR376" s="127"/>
      <c r="BS376" s="127"/>
      <c r="BT376" s="127"/>
      <c r="BU376" s="127"/>
    </row>
    <row r="377" spans="15:73" x14ac:dyDescent="0.2"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</row>
    <row r="378" spans="15:73" x14ac:dyDescent="0.2"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7"/>
      <c r="BS378" s="127"/>
      <c r="BT378" s="127"/>
      <c r="BU378" s="127"/>
    </row>
    <row r="379" spans="15:73" x14ac:dyDescent="0.2"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  <c r="BM379" s="127"/>
      <c r="BN379" s="127"/>
      <c r="BO379" s="127"/>
      <c r="BP379" s="127"/>
      <c r="BQ379" s="127"/>
      <c r="BR379" s="127"/>
      <c r="BS379" s="127"/>
      <c r="BT379" s="127"/>
      <c r="BU379" s="127"/>
    </row>
    <row r="380" spans="15:73" x14ac:dyDescent="0.2"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27"/>
      <c r="BN380" s="127"/>
      <c r="BO380" s="127"/>
      <c r="BP380" s="127"/>
      <c r="BQ380" s="127"/>
      <c r="BR380" s="127"/>
      <c r="BS380" s="127"/>
      <c r="BT380" s="127"/>
      <c r="BU380" s="127"/>
    </row>
    <row r="381" spans="15:73" x14ac:dyDescent="0.2"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</row>
    <row r="382" spans="15:73" x14ac:dyDescent="0.2"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</row>
    <row r="383" spans="15:73" x14ac:dyDescent="0.2"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7"/>
      <c r="BQ383" s="127"/>
      <c r="BR383" s="127"/>
      <c r="BS383" s="127"/>
      <c r="BT383" s="127"/>
      <c r="BU383" s="127"/>
    </row>
    <row r="384" spans="15:73" x14ac:dyDescent="0.2"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/>
      <c r="BO384" s="127"/>
      <c r="BP384" s="127"/>
      <c r="BQ384" s="127"/>
      <c r="BR384" s="127"/>
      <c r="BS384" s="127"/>
      <c r="BT384" s="127"/>
      <c r="BU384" s="127"/>
    </row>
    <row r="385" spans="15:73" x14ac:dyDescent="0.2"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</row>
    <row r="386" spans="15:73" x14ac:dyDescent="0.2"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27"/>
      <c r="AX386" s="127"/>
      <c r="AY386" s="127"/>
      <c r="AZ386" s="127"/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7"/>
      <c r="BL386" s="127"/>
      <c r="BM386" s="127"/>
      <c r="BN386" s="127"/>
      <c r="BO386" s="127"/>
      <c r="BP386" s="127"/>
      <c r="BQ386" s="127"/>
      <c r="BR386" s="127"/>
      <c r="BS386" s="127"/>
      <c r="BT386" s="127"/>
      <c r="BU386" s="127"/>
    </row>
    <row r="387" spans="15:73" x14ac:dyDescent="0.2"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/>
      <c r="BN387" s="127"/>
      <c r="BO387" s="127"/>
      <c r="BP387" s="127"/>
      <c r="BQ387" s="127"/>
      <c r="BR387" s="127"/>
      <c r="BS387" s="127"/>
      <c r="BT387" s="127"/>
      <c r="BU387" s="127"/>
    </row>
    <row r="388" spans="15:73" x14ac:dyDescent="0.2"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  <c r="BM388" s="127"/>
      <c r="BN388" s="127"/>
      <c r="BO388" s="127"/>
      <c r="BP388" s="127"/>
      <c r="BQ388" s="127"/>
      <c r="BR388" s="127"/>
      <c r="BS388" s="127"/>
      <c r="BT388" s="127"/>
      <c r="BU388" s="127"/>
    </row>
    <row r="389" spans="15:73" x14ac:dyDescent="0.2"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/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  <c r="BM389" s="127"/>
      <c r="BN389" s="127"/>
      <c r="BO389" s="127"/>
      <c r="BP389" s="127"/>
      <c r="BQ389" s="127"/>
      <c r="BR389" s="127"/>
      <c r="BS389" s="127"/>
      <c r="BT389" s="127"/>
      <c r="BU389" s="127"/>
    </row>
    <row r="390" spans="15:73" x14ac:dyDescent="0.2"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7"/>
      <c r="BL390" s="127"/>
      <c r="BM390" s="127"/>
      <c r="BN390" s="127"/>
      <c r="BO390" s="127"/>
      <c r="BP390" s="127"/>
      <c r="BQ390" s="127"/>
      <c r="BR390" s="127"/>
      <c r="BS390" s="127"/>
      <c r="BT390" s="127"/>
      <c r="BU390" s="127"/>
    </row>
    <row r="391" spans="15:73" x14ac:dyDescent="0.2"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</row>
    <row r="392" spans="15:73" x14ac:dyDescent="0.2"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7"/>
      <c r="BL392" s="127"/>
      <c r="BM392" s="127"/>
      <c r="BN392" s="127"/>
      <c r="BO392" s="127"/>
      <c r="BP392" s="127"/>
      <c r="BQ392" s="127"/>
      <c r="BR392" s="127"/>
      <c r="BS392" s="127"/>
      <c r="BT392" s="127"/>
      <c r="BU392" s="127"/>
    </row>
    <row r="393" spans="15:73" x14ac:dyDescent="0.2"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7"/>
      <c r="BH393" s="127"/>
      <c r="BI393" s="127"/>
      <c r="BJ393" s="127"/>
      <c r="BK393" s="127"/>
      <c r="BL393" s="127"/>
      <c r="BM393" s="127"/>
      <c r="BN393" s="127"/>
      <c r="BO393" s="127"/>
      <c r="BP393" s="127"/>
      <c r="BQ393" s="127"/>
      <c r="BR393" s="127"/>
      <c r="BS393" s="127"/>
      <c r="BT393" s="127"/>
      <c r="BU393" s="127"/>
    </row>
    <row r="394" spans="15:73" x14ac:dyDescent="0.2"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  <c r="BM394" s="127"/>
      <c r="BN394" s="127"/>
      <c r="BO394" s="127"/>
      <c r="BP394" s="127"/>
      <c r="BQ394" s="127"/>
      <c r="BR394" s="127"/>
      <c r="BS394" s="127"/>
      <c r="BT394" s="127"/>
      <c r="BU394" s="127"/>
    </row>
    <row r="395" spans="15:73" x14ac:dyDescent="0.2"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/>
      <c r="BQ395" s="127"/>
      <c r="BR395" s="127"/>
      <c r="BS395" s="127"/>
      <c r="BT395" s="127"/>
      <c r="BU395" s="127"/>
    </row>
    <row r="396" spans="15:73" x14ac:dyDescent="0.2"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  <c r="BM396" s="127"/>
      <c r="BN396" s="127"/>
      <c r="BO396" s="127"/>
      <c r="BP396" s="127"/>
      <c r="BQ396" s="127"/>
      <c r="BR396" s="127"/>
      <c r="BS396" s="127"/>
      <c r="BT396" s="127"/>
      <c r="BU396" s="127"/>
    </row>
    <row r="397" spans="15:73" x14ac:dyDescent="0.2"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  <c r="BM397" s="127"/>
      <c r="BN397" s="127"/>
      <c r="BO397" s="127"/>
      <c r="BP397" s="127"/>
      <c r="BQ397" s="127"/>
      <c r="BR397" s="127"/>
      <c r="BS397" s="127"/>
      <c r="BT397" s="127"/>
      <c r="BU397" s="127"/>
    </row>
    <row r="398" spans="15:73" x14ac:dyDescent="0.2"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  <c r="BM398" s="127"/>
      <c r="BN398" s="127"/>
      <c r="BO398" s="127"/>
      <c r="BP398" s="127"/>
      <c r="BQ398" s="127"/>
      <c r="BR398" s="127"/>
      <c r="BS398" s="127"/>
      <c r="BT398" s="127"/>
      <c r="BU398" s="127"/>
    </row>
    <row r="399" spans="15:73" x14ac:dyDescent="0.2"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/>
      <c r="BO399" s="127"/>
      <c r="BP399" s="127"/>
      <c r="BQ399" s="127"/>
      <c r="BR399" s="127"/>
      <c r="BS399" s="127"/>
      <c r="BT399" s="127"/>
      <c r="BU399" s="127"/>
    </row>
    <row r="400" spans="15:73" x14ac:dyDescent="0.2"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/>
      <c r="BQ400" s="127"/>
      <c r="BR400" s="127"/>
      <c r="BS400" s="127"/>
      <c r="BT400" s="127"/>
      <c r="BU400" s="127"/>
    </row>
    <row r="401" spans="15:73" x14ac:dyDescent="0.2"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27"/>
      <c r="BR401" s="127"/>
      <c r="BS401" s="127"/>
      <c r="BT401" s="127"/>
      <c r="BU401" s="127"/>
    </row>
    <row r="402" spans="15:73" x14ac:dyDescent="0.2"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/>
      <c r="BN402" s="127"/>
      <c r="BO402" s="127"/>
      <c r="BP402" s="127"/>
      <c r="BQ402" s="127"/>
      <c r="BR402" s="127"/>
      <c r="BS402" s="127"/>
      <c r="BT402" s="127"/>
      <c r="BU402" s="127"/>
    </row>
    <row r="403" spans="15:73" x14ac:dyDescent="0.2"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  <c r="BE403" s="127"/>
      <c r="BF403" s="127"/>
      <c r="BG403" s="127"/>
      <c r="BH403" s="127"/>
      <c r="BI403" s="127"/>
      <c r="BJ403" s="127"/>
      <c r="BK403" s="127"/>
      <c r="BL403" s="127"/>
      <c r="BM403" s="127"/>
      <c r="BN403" s="127"/>
      <c r="BO403" s="127"/>
      <c r="BP403" s="127"/>
      <c r="BQ403" s="127"/>
      <c r="BR403" s="127"/>
      <c r="BS403" s="127"/>
      <c r="BT403" s="127"/>
      <c r="BU403" s="127"/>
    </row>
    <row r="404" spans="15:73" x14ac:dyDescent="0.2"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  <c r="BE404" s="127"/>
      <c r="BF404" s="127"/>
      <c r="BG404" s="127"/>
      <c r="BH404" s="127"/>
      <c r="BI404" s="127"/>
      <c r="BJ404" s="127"/>
      <c r="BK404" s="127"/>
      <c r="BL404" s="127"/>
      <c r="BM404" s="127"/>
      <c r="BN404" s="127"/>
      <c r="BO404" s="127"/>
      <c r="BP404" s="127"/>
      <c r="BQ404" s="127"/>
      <c r="BR404" s="127"/>
      <c r="BS404" s="127"/>
      <c r="BT404" s="127"/>
      <c r="BU404" s="127"/>
    </row>
    <row r="405" spans="15:73" x14ac:dyDescent="0.2"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7"/>
      <c r="BB405" s="127"/>
      <c r="BC405" s="127"/>
      <c r="BD405" s="127"/>
      <c r="BE405" s="127"/>
      <c r="BF405" s="127"/>
      <c r="BG405" s="127"/>
      <c r="BH405" s="127"/>
      <c r="BI405" s="127"/>
      <c r="BJ405" s="127"/>
      <c r="BK405" s="127"/>
      <c r="BL405" s="127"/>
      <c r="BM405" s="127"/>
      <c r="BN405" s="127"/>
      <c r="BO405" s="127"/>
      <c r="BP405" s="127"/>
      <c r="BQ405" s="127"/>
      <c r="BR405" s="127"/>
      <c r="BS405" s="127"/>
      <c r="BT405" s="127"/>
      <c r="BU405" s="127"/>
    </row>
    <row r="406" spans="15:73" x14ac:dyDescent="0.2"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</row>
    <row r="407" spans="15:73" x14ac:dyDescent="0.2"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</row>
    <row r="408" spans="15:73" x14ac:dyDescent="0.2"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</row>
    <row r="409" spans="15:73" x14ac:dyDescent="0.2"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</row>
    <row r="410" spans="15:73" x14ac:dyDescent="0.2"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</row>
    <row r="411" spans="15:73" x14ac:dyDescent="0.2"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/>
      <c r="BP411" s="127"/>
      <c r="BQ411" s="127"/>
      <c r="BR411" s="127"/>
      <c r="BS411" s="127"/>
      <c r="BT411" s="127"/>
      <c r="BU411" s="127"/>
    </row>
    <row r="412" spans="15:73" x14ac:dyDescent="0.2"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  <c r="BE412" s="127"/>
      <c r="BF412" s="127"/>
      <c r="BG412" s="127"/>
      <c r="BH412" s="127"/>
      <c r="BI412" s="127"/>
      <c r="BJ412" s="127"/>
      <c r="BK412" s="127"/>
      <c r="BL412" s="127"/>
      <c r="BM412" s="127"/>
      <c r="BN412" s="127"/>
      <c r="BO412" s="127"/>
      <c r="BP412" s="127"/>
      <c r="BQ412" s="127"/>
      <c r="BR412" s="127"/>
      <c r="BS412" s="127"/>
      <c r="BT412" s="127"/>
      <c r="BU412" s="127"/>
    </row>
    <row r="413" spans="15:73" x14ac:dyDescent="0.2"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/>
      <c r="BO413" s="127"/>
      <c r="BP413" s="127"/>
      <c r="BQ413" s="127"/>
      <c r="BR413" s="127"/>
      <c r="BS413" s="127"/>
      <c r="BT413" s="127"/>
      <c r="BU413" s="127"/>
    </row>
    <row r="414" spans="15:73" x14ac:dyDescent="0.2"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</row>
    <row r="415" spans="15:73" x14ac:dyDescent="0.2"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</row>
    <row r="416" spans="15:73" x14ac:dyDescent="0.2"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  <c r="AC416" s="127"/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/>
      <c r="BU416" s="127"/>
    </row>
    <row r="417" spans="15:73" x14ac:dyDescent="0.2"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/>
      <c r="BP417" s="127"/>
      <c r="BQ417" s="127"/>
      <c r="BR417" s="127"/>
      <c r="BS417" s="127"/>
      <c r="BT417" s="127"/>
      <c r="BU417" s="127"/>
    </row>
    <row r="418" spans="15:73" x14ac:dyDescent="0.2"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  <c r="BE418" s="127"/>
      <c r="BF418" s="127"/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/>
      <c r="BQ418" s="127"/>
      <c r="BR418" s="127"/>
      <c r="BS418" s="127"/>
      <c r="BT418" s="127"/>
      <c r="BU418" s="127"/>
    </row>
    <row r="419" spans="15:73" x14ac:dyDescent="0.2"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</row>
    <row r="420" spans="15:73" x14ac:dyDescent="0.2"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/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  <c r="BE420" s="127"/>
      <c r="BF420" s="127"/>
      <c r="BG420" s="127"/>
      <c r="BH420" s="127"/>
      <c r="BI420" s="127"/>
      <c r="BJ420" s="127"/>
      <c r="BK420" s="127"/>
      <c r="BL420" s="127"/>
      <c r="BM420" s="127"/>
      <c r="BN420" s="127"/>
      <c r="BO420" s="127"/>
      <c r="BP420" s="127"/>
      <c r="BQ420" s="127"/>
      <c r="BR420" s="127"/>
      <c r="BS420" s="127"/>
      <c r="BT420" s="127"/>
      <c r="BU420" s="127"/>
    </row>
    <row r="421" spans="15:73" x14ac:dyDescent="0.2"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27"/>
      <c r="AX421" s="127"/>
      <c r="AY421" s="127"/>
      <c r="AZ421" s="127"/>
      <c r="BA421" s="127"/>
      <c r="BB421" s="127"/>
      <c r="BC421" s="127"/>
      <c r="BD421" s="127"/>
      <c r="BE421" s="127"/>
      <c r="BF421" s="127"/>
      <c r="BG421" s="127"/>
      <c r="BH421" s="127"/>
      <c r="BI421" s="127"/>
      <c r="BJ421" s="127"/>
      <c r="BK421" s="127"/>
      <c r="BL421" s="127"/>
      <c r="BM421" s="127"/>
      <c r="BN421" s="127"/>
      <c r="BO421" s="127"/>
      <c r="BP421" s="127"/>
      <c r="BQ421" s="127"/>
      <c r="BR421" s="127"/>
      <c r="BS421" s="127"/>
      <c r="BT421" s="127"/>
      <c r="BU421" s="127"/>
    </row>
    <row r="422" spans="15:73" x14ac:dyDescent="0.2"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</row>
    <row r="423" spans="15:73" x14ac:dyDescent="0.2"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</row>
    <row r="424" spans="15:73" x14ac:dyDescent="0.2"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  <c r="AC424" s="127"/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  <c r="BE424" s="127"/>
      <c r="BF424" s="127"/>
      <c r="BG424" s="127"/>
      <c r="BH424" s="127"/>
      <c r="BI424" s="127"/>
      <c r="BJ424" s="127"/>
      <c r="BK424" s="127"/>
      <c r="BL424" s="127"/>
      <c r="BM424" s="127"/>
      <c r="BN424" s="127"/>
      <c r="BO424" s="127"/>
      <c r="BP424" s="127"/>
      <c r="BQ424" s="127"/>
      <c r="BR424" s="127"/>
      <c r="BS424" s="127"/>
      <c r="BT424" s="127"/>
      <c r="BU424" s="127"/>
    </row>
    <row r="425" spans="15:73" x14ac:dyDescent="0.2"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/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/>
      <c r="BM425" s="127"/>
      <c r="BN425" s="127"/>
      <c r="BO425" s="127"/>
      <c r="BP425" s="127"/>
      <c r="BQ425" s="127"/>
      <c r="BR425" s="127"/>
      <c r="BS425" s="127"/>
      <c r="BT425" s="127"/>
      <c r="BU425" s="127"/>
    </row>
    <row r="426" spans="15:73" x14ac:dyDescent="0.2"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/>
      <c r="BI426" s="127"/>
      <c r="BJ426" s="127"/>
      <c r="BK426" s="127"/>
      <c r="BL426" s="127"/>
      <c r="BM426" s="127"/>
      <c r="BN426" s="127"/>
      <c r="BO426" s="127"/>
      <c r="BP426" s="127"/>
      <c r="BQ426" s="127"/>
      <c r="BR426" s="127"/>
      <c r="BS426" s="127"/>
      <c r="BT426" s="127"/>
      <c r="BU426" s="127"/>
    </row>
    <row r="427" spans="15:73" x14ac:dyDescent="0.2"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/>
      <c r="BM427" s="127"/>
      <c r="BN427" s="127"/>
      <c r="BO427" s="127"/>
      <c r="BP427" s="127"/>
      <c r="BQ427" s="127"/>
      <c r="BR427" s="127"/>
      <c r="BS427" s="127"/>
      <c r="BT427" s="127"/>
      <c r="BU427" s="127"/>
    </row>
    <row r="428" spans="15:73" x14ac:dyDescent="0.2"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/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  <c r="BR428" s="127"/>
      <c r="BS428" s="127"/>
      <c r="BT428" s="127"/>
      <c r="BU428" s="127"/>
    </row>
    <row r="429" spans="15:73" x14ac:dyDescent="0.2"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</row>
    <row r="430" spans="15:73" x14ac:dyDescent="0.2"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27"/>
    </row>
    <row r="431" spans="15:73" x14ac:dyDescent="0.2"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</row>
    <row r="432" spans="15:73" x14ac:dyDescent="0.2"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  <c r="BE432" s="127"/>
      <c r="BF432" s="127"/>
      <c r="BG432" s="127"/>
      <c r="BH432" s="127"/>
      <c r="BI432" s="127"/>
      <c r="BJ432" s="127"/>
      <c r="BK432" s="127"/>
      <c r="BL432" s="127"/>
      <c r="BM432" s="127"/>
      <c r="BN432" s="127"/>
      <c r="BO432" s="127"/>
      <c r="BP432" s="127"/>
      <c r="BQ432" s="127"/>
      <c r="BR432" s="127"/>
      <c r="BS432" s="127"/>
      <c r="BT432" s="127"/>
      <c r="BU432" s="127"/>
    </row>
    <row r="433" spans="15:73" x14ac:dyDescent="0.2"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/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</row>
    <row r="434" spans="15:73" x14ac:dyDescent="0.2"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/>
      <c r="BN434" s="127"/>
      <c r="BO434" s="127"/>
      <c r="BP434" s="127"/>
      <c r="BQ434" s="127"/>
      <c r="BR434" s="127"/>
      <c r="BS434" s="127"/>
      <c r="BT434" s="127"/>
      <c r="BU434" s="127"/>
    </row>
    <row r="435" spans="15:73" x14ac:dyDescent="0.2"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/>
      <c r="BT435" s="127"/>
      <c r="BU435" s="127"/>
    </row>
    <row r="436" spans="15:73" x14ac:dyDescent="0.2"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/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  <c r="BM436" s="127"/>
      <c r="BN436" s="127"/>
      <c r="BO436" s="127"/>
      <c r="BP436" s="127"/>
      <c r="BQ436" s="127"/>
      <c r="BR436" s="127"/>
      <c r="BS436" s="127"/>
      <c r="BT436" s="127"/>
      <c r="BU436" s="127"/>
    </row>
    <row r="437" spans="15:73" x14ac:dyDescent="0.2"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27"/>
      <c r="AX437" s="127"/>
      <c r="AY437" s="127"/>
      <c r="AZ437" s="127"/>
      <c r="BA437" s="127"/>
      <c r="BB437" s="127"/>
      <c r="BC437" s="127"/>
      <c r="BD437" s="127"/>
      <c r="BE437" s="127"/>
      <c r="BF437" s="127"/>
      <c r="BG437" s="127"/>
      <c r="BH437" s="127"/>
      <c r="BI437" s="127"/>
      <c r="BJ437" s="127"/>
      <c r="BK437" s="127"/>
      <c r="BL437" s="127"/>
      <c r="BM437" s="127"/>
      <c r="BN437" s="127"/>
      <c r="BO437" s="127"/>
      <c r="BP437" s="127"/>
      <c r="BQ437" s="127"/>
      <c r="BR437" s="127"/>
      <c r="BS437" s="127"/>
      <c r="BT437" s="127"/>
      <c r="BU437" s="127"/>
    </row>
    <row r="438" spans="15:73" x14ac:dyDescent="0.2"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/>
      <c r="BJ438" s="127"/>
      <c r="BK438" s="127"/>
      <c r="BL438" s="127"/>
      <c r="BM438" s="127"/>
      <c r="BN438" s="127"/>
      <c r="BO438" s="127"/>
      <c r="BP438" s="127"/>
      <c r="BQ438" s="127"/>
      <c r="BR438" s="127"/>
      <c r="BS438" s="127"/>
      <c r="BT438" s="127"/>
      <c r="BU438" s="127"/>
    </row>
    <row r="439" spans="15:73" x14ac:dyDescent="0.2"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</row>
    <row r="440" spans="15:73" x14ac:dyDescent="0.2"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/>
      <c r="BO440" s="127"/>
      <c r="BP440" s="127"/>
      <c r="BQ440" s="127"/>
      <c r="BR440" s="127"/>
      <c r="BS440" s="127"/>
      <c r="BT440" s="127"/>
      <c r="BU440" s="127"/>
    </row>
    <row r="441" spans="15:73" x14ac:dyDescent="0.2"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</row>
    <row r="442" spans="15:73" x14ac:dyDescent="0.2"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</row>
    <row r="443" spans="15:73" x14ac:dyDescent="0.2"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  <c r="BE443" s="127"/>
      <c r="BF443" s="127"/>
      <c r="BG443" s="127"/>
      <c r="BH443" s="127"/>
      <c r="BI443" s="127"/>
      <c r="BJ443" s="127"/>
      <c r="BK443" s="127"/>
      <c r="BL443" s="127"/>
      <c r="BM443" s="127"/>
      <c r="BN443" s="127"/>
      <c r="BO443" s="127"/>
      <c r="BP443" s="127"/>
      <c r="BQ443" s="127"/>
      <c r="BR443" s="127"/>
      <c r="BS443" s="127"/>
      <c r="BT443" s="127"/>
      <c r="BU443" s="127"/>
    </row>
    <row r="444" spans="15:73" x14ac:dyDescent="0.2"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  <c r="BM444" s="127"/>
      <c r="BN444" s="127"/>
      <c r="BO444" s="127"/>
      <c r="BP444" s="127"/>
      <c r="BQ444" s="127"/>
      <c r="BR444" s="127"/>
      <c r="BS444" s="127"/>
      <c r="BT444" s="127"/>
      <c r="BU444" s="127"/>
    </row>
    <row r="445" spans="15:73" x14ac:dyDescent="0.2"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</row>
    <row r="446" spans="15:73" x14ac:dyDescent="0.2"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/>
      <c r="BO446" s="127"/>
      <c r="BP446" s="127"/>
      <c r="BQ446" s="127"/>
      <c r="BR446" s="127"/>
      <c r="BS446" s="127"/>
      <c r="BT446" s="127"/>
      <c r="BU446" s="127"/>
    </row>
    <row r="447" spans="15:73" x14ac:dyDescent="0.2"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/>
      <c r="AU447" s="127"/>
      <c r="AV447" s="127"/>
      <c r="AW447" s="127"/>
      <c r="AX447" s="127"/>
      <c r="AY447" s="127"/>
      <c r="AZ447" s="127"/>
      <c r="BA447" s="127"/>
      <c r="BB447" s="127"/>
      <c r="BC447" s="127"/>
      <c r="BD447" s="127"/>
      <c r="BE447" s="127"/>
      <c r="BF447" s="127"/>
      <c r="BG447" s="127"/>
      <c r="BH447" s="127"/>
      <c r="BI447" s="127"/>
      <c r="BJ447" s="127"/>
      <c r="BK447" s="127"/>
      <c r="BL447" s="127"/>
      <c r="BM447" s="127"/>
      <c r="BN447" s="127"/>
      <c r="BO447" s="127"/>
      <c r="BP447" s="127"/>
      <c r="BQ447" s="127"/>
      <c r="BR447" s="127"/>
      <c r="BS447" s="127"/>
      <c r="BT447" s="127"/>
      <c r="BU447" s="127"/>
    </row>
    <row r="448" spans="15:73" x14ac:dyDescent="0.2"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</row>
    <row r="449" spans="15:73" x14ac:dyDescent="0.2"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</row>
    <row r="450" spans="15:73" x14ac:dyDescent="0.2"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7"/>
      <c r="AX450" s="127"/>
      <c r="AY450" s="127"/>
      <c r="AZ450" s="127"/>
      <c r="BA450" s="127"/>
      <c r="BB450" s="127"/>
      <c r="BC450" s="127"/>
      <c r="BD450" s="127"/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</row>
    <row r="451" spans="15:73" x14ac:dyDescent="0.2"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/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/>
      <c r="BQ451" s="127"/>
      <c r="BR451" s="127"/>
      <c r="BS451" s="127"/>
      <c r="BT451" s="127"/>
      <c r="BU451" s="127"/>
    </row>
    <row r="452" spans="15:73" x14ac:dyDescent="0.2"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/>
      <c r="BA452" s="127"/>
      <c r="BB452" s="127"/>
      <c r="BC452" s="127"/>
      <c r="BD452" s="127"/>
      <c r="BE452" s="127"/>
      <c r="BF452" s="127"/>
      <c r="BG452" s="127"/>
      <c r="BH452" s="127"/>
      <c r="BI452" s="127"/>
      <c r="BJ452" s="127"/>
      <c r="BK452" s="127"/>
      <c r="BL452" s="127"/>
      <c r="BM452" s="127"/>
      <c r="BN452" s="127"/>
      <c r="BO452" s="127"/>
      <c r="BP452" s="127"/>
      <c r="BQ452" s="127"/>
      <c r="BR452" s="127"/>
      <c r="BS452" s="127"/>
      <c r="BT452" s="127"/>
      <c r="BU452" s="127"/>
    </row>
    <row r="453" spans="15:73" x14ac:dyDescent="0.2"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27"/>
      <c r="AX453" s="127"/>
      <c r="AY453" s="127"/>
      <c r="AZ453" s="127"/>
      <c r="BA453" s="127"/>
      <c r="BB453" s="127"/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/>
      <c r="BQ453" s="127"/>
      <c r="BR453" s="127"/>
      <c r="BS453" s="127"/>
      <c r="BT453" s="127"/>
      <c r="BU453" s="127"/>
    </row>
    <row r="454" spans="15:73" x14ac:dyDescent="0.2"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/>
      <c r="BU454" s="127"/>
    </row>
    <row r="455" spans="15:73" x14ac:dyDescent="0.2"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</row>
    <row r="456" spans="15:73" x14ac:dyDescent="0.2"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</row>
    <row r="457" spans="15:73" x14ac:dyDescent="0.2"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</row>
    <row r="458" spans="15:73" x14ac:dyDescent="0.2"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</row>
    <row r="459" spans="15:73" x14ac:dyDescent="0.2"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</row>
    <row r="460" spans="15:73" x14ac:dyDescent="0.2"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</row>
    <row r="461" spans="15:73" x14ac:dyDescent="0.2"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</row>
    <row r="462" spans="15:73" x14ac:dyDescent="0.2"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/>
      <c r="BP462" s="127"/>
      <c r="BQ462" s="127"/>
      <c r="BR462" s="127"/>
      <c r="BS462" s="127"/>
      <c r="BT462" s="127"/>
      <c r="BU462" s="127"/>
    </row>
    <row r="463" spans="15:73" x14ac:dyDescent="0.2"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</row>
    <row r="464" spans="15:73" x14ac:dyDescent="0.2"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</row>
    <row r="465" spans="15:73" x14ac:dyDescent="0.2"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27"/>
      <c r="AX465" s="127"/>
      <c r="AY465" s="127"/>
      <c r="AZ465" s="127"/>
      <c r="BA465" s="127"/>
      <c r="BB465" s="127"/>
      <c r="BC465" s="127"/>
      <c r="BD465" s="127"/>
      <c r="BE465" s="127"/>
      <c r="BF465" s="127"/>
      <c r="BG465" s="127"/>
      <c r="BH465" s="127"/>
      <c r="BI465" s="127"/>
      <c r="BJ465" s="127"/>
      <c r="BK465" s="127"/>
      <c r="BL465" s="127"/>
      <c r="BM465" s="127"/>
      <c r="BN465" s="127"/>
      <c r="BO465" s="127"/>
      <c r="BP465" s="127"/>
      <c r="BQ465" s="127"/>
      <c r="BR465" s="127"/>
      <c r="BS465" s="127"/>
      <c r="BT465" s="127"/>
      <c r="BU465" s="127"/>
    </row>
    <row r="466" spans="15:73" x14ac:dyDescent="0.2"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</row>
    <row r="467" spans="15:73" x14ac:dyDescent="0.2"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/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/>
      <c r="BM467" s="127"/>
      <c r="BN467" s="127"/>
      <c r="BO467" s="127"/>
      <c r="BP467" s="127"/>
      <c r="BQ467" s="127"/>
      <c r="BR467" s="127"/>
      <c r="BS467" s="127"/>
      <c r="BT467" s="127"/>
      <c r="BU467" s="127"/>
    </row>
    <row r="468" spans="15:73" x14ac:dyDescent="0.2"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/>
      <c r="BP468" s="127"/>
      <c r="BQ468" s="127"/>
      <c r="BR468" s="127"/>
      <c r="BS468" s="127"/>
      <c r="BT468" s="127"/>
      <c r="BU468" s="127"/>
    </row>
    <row r="469" spans="15:73" x14ac:dyDescent="0.2"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</row>
    <row r="470" spans="15:73" x14ac:dyDescent="0.2"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</row>
    <row r="471" spans="15:73" x14ac:dyDescent="0.2"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</row>
    <row r="472" spans="15:73" x14ac:dyDescent="0.2"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</row>
    <row r="473" spans="15:73" x14ac:dyDescent="0.2"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</row>
    <row r="474" spans="15:73" x14ac:dyDescent="0.2"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27"/>
      <c r="AX474" s="127"/>
      <c r="AY474" s="127"/>
      <c r="AZ474" s="127"/>
      <c r="BA474" s="127"/>
      <c r="BB474" s="127"/>
      <c r="BC474" s="127"/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/>
      <c r="BN474" s="127"/>
      <c r="BO474" s="127"/>
      <c r="BP474" s="127"/>
      <c r="BQ474" s="127"/>
      <c r="BR474" s="127"/>
      <c r="BS474" s="127"/>
      <c r="BT474" s="127"/>
      <c r="BU474" s="127"/>
    </row>
    <row r="475" spans="15:73" x14ac:dyDescent="0.2"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/>
      <c r="BU475" s="127"/>
    </row>
    <row r="476" spans="15:73" x14ac:dyDescent="0.2"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27"/>
      <c r="AX476" s="127"/>
      <c r="AY476" s="127"/>
      <c r="AZ476" s="127"/>
      <c r="BA476" s="127"/>
      <c r="BB476" s="127"/>
      <c r="BC476" s="127"/>
      <c r="BD476" s="127"/>
      <c r="BE476" s="127"/>
      <c r="BF476" s="127"/>
      <c r="BG476" s="127"/>
      <c r="BH476" s="127"/>
      <c r="BI476" s="127"/>
      <c r="BJ476" s="127"/>
      <c r="BK476" s="127"/>
      <c r="BL476" s="127"/>
      <c r="BM476" s="127"/>
      <c r="BN476" s="127"/>
      <c r="BO476" s="127"/>
      <c r="BP476" s="127"/>
      <c r="BQ476" s="127"/>
      <c r="BR476" s="127"/>
      <c r="BS476" s="127"/>
      <c r="BT476" s="127"/>
      <c r="BU476" s="127"/>
    </row>
    <row r="477" spans="15:73" x14ac:dyDescent="0.2"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  <c r="BE477" s="127"/>
      <c r="BF477" s="127"/>
      <c r="BG477" s="127"/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/>
      <c r="BT477" s="127"/>
      <c r="BU477" s="127"/>
    </row>
    <row r="478" spans="15:73" x14ac:dyDescent="0.2"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/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/>
      <c r="BO478" s="127"/>
      <c r="BP478" s="127"/>
      <c r="BQ478" s="127"/>
      <c r="BR478" s="127"/>
      <c r="BS478" s="127"/>
      <c r="BT478" s="127"/>
      <c r="BU478" s="127"/>
    </row>
    <row r="479" spans="15:73" x14ac:dyDescent="0.2"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</row>
    <row r="480" spans="15:73" x14ac:dyDescent="0.2"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127"/>
      <c r="AP480" s="127"/>
      <c r="AQ480" s="127"/>
      <c r="AR480" s="127"/>
      <c r="AS480" s="127"/>
      <c r="AT480" s="127"/>
      <c r="AU480" s="127"/>
      <c r="AV480" s="127"/>
      <c r="AW480" s="127"/>
      <c r="AX480" s="127"/>
      <c r="AY480" s="127"/>
      <c r="AZ480" s="127"/>
      <c r="BA480" s="127"/>
      <c r="BB480" s="127"/>
      <c r="BC480" s="127"/>
      <c r="BD480" s="127"/>
      <c r="BE480" s="127"/>
      <c r="BF480" s="127"/>
      <c r="BG480" s="127"/>
      <c r="BH480" s="127"/>
      <c r="BI480" s="127"/>
      <c r="BJ480" s="127"/>
      <c r="BK480" s="127"/>
      <c r="BL480" s="127"/>
      <c r="BM480" s="127"/>
      <c r="BN480" s="127"/>
      <c r="BO480" s="127"/>
      <c r="BP480" s="127"/>
      <c r="BQ480" s="127"/>
      <c r="BR480" s="127"/>
      <c r="BS480" s="127"/>
      <c r="BT480" s="127"/>
      <c r="BU480" s="127"/>
    </row>
    <row r="481" spans="15:73" x14ac:dyDescent="0.2"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</row>
    <row r="482" spans="15:73" x14ac:dyDescent="0.2"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  <c r="AU482" s="127"/>
      <c r="AV482" s="127"/>
      <c r="AW482" s="127"/>
      <c r="AX482" s="127"/>
      <c r="AY482" s="127"/>
      <c r="AZ482" s="127"/>
      <c r="BA482" s="127"/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/>
      <c r="BS482" s="127"/>
      <c r="BT482" s="127"/>
      <c r="BU482" s="127"/>
    </row>
    <row r="483" spans="15:73" x14ac:dyDescent="0.2"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27"/>
      <c r="AX483" s="127"/>
      <c r="AY483" s="127"/>
      <c r="AZ483" s="127"/>
      <c r="BA483" s="127"/>
      <c r="BB483" s="127"/>
      <c r="BC483" s="127"/>
      <c r="BD483" s="127"/>
      <c r="BE483" s="127"/>
      <c r="BF483" s="127"/>
      <c r="BG483" s="127"/>
      <c r="BH483" s="127"/>
      <c r="BI483" s="127"/>
      <c r="BJ483" s="127"/>
      <c r="BK483" s="127"/>
      <c r="BL483" s="127"/>
      <c r="BM483" s="127"/>
      <c r="BN483" s="127"/>
      <c r="BO483" s="127"/>
      <c r="BP483" s="127"/>
      <c r="BQ483" s="127"/>
      <c r="BR483" s="127"/>
      <c r="BS483" s="127"/>
      <c r="BT483" s="127"/>
      <c r="BU483" s="127"/>
    </row>
    <row r="484" spans="15:73" x14ac:dyDescent="0.2"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/>
      <c r="AY484" s="127"/>
      <c r="AZ484" s="127"/>
      <c r="BA484" s="127"/>
      <c r="BB484" s="127"/>
      <c r="BC484" s="127"/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/>
      <c r="BS484" s="127"/>
      <c r="BT484" s="127"/>
      <c r="BU484" s="127"/>
    </row>
    <row r="485" spans="15:73" x14ac:dyDescent="0.2"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</row>
    <row r="486" spans="15:73" x14ac:dyDescent="0.2"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/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</row>
    <row r="487" spans="15:73" x14ac:dyDescent="0.2"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27"/>
      <c r="AX487" s="127"/>
      <c r="AY487" s="127"/>
      <c r="AZ487" s="127"/>
      <c r="BA487" s="127"/>
      <c r="BB487" s="127"/>
      <c r="BC487" s="127"/>
      <c r="BD487" s="127"/>
      <c r="BE487" s="127"/>
      <c r="BF487" s="127"/>
      <c r="BG487" s="127"/>
      <c r="BH487" s="127"/>
      <c r="BI487" s="127"/>
      <c r="BJ487" s="127"/>
      <c r="BK487" s="127"/>
      <c r="BL487" s="127"/>
      <c r="BM487" s="127"/>
      <c r="BN487" s="127"/>
      <c r="BO487" s="127"/>
      <c r="BP487" s="127"/>
      <c r="BQ487" s="127"/>
      <c r="BR487" s="127"/>
      <c r="BS487" s="127"/>
      <c r="BT487" s="127"/>
      <c r="BU487" s="127"/>
    </row>
    <row r="488" spans="15:73" x14ac:dyDescent="0.2"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  <c r="BE488" s="127"/>
      <c r="BF488" s="127"/>
      <c r="BG488" s="127"/>
      <c r="BH488" s="127"/>
      <c r="BI488" s="127"/>
      <c r="BJ488" s="127"/>
      <c r="BK488" s="127"/>
      <c r="BL488" s="127"/>
      <c r="BM488" s="127"/>
      <c r="BN488" s="127"/>
      <c r="BO488" s="127"/>
      <c r="BP488" s="127"/>
      <c r="BQ488" s="127"/>
      <c r="BR488" s="127"/>
      <c r="BS488" s="127"/>
      <c r="BT488" s="127"/>
      <c r="BU488" s="127"/>
    </row>
    <row r="489" spans="15:73" x14ac:dyDescent="0.2"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</row>
    <row r="490" spans="15:73" x14ac:dyDescent="0.2"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</row>
    <row r="491" spans="15:73" x14ac:dyDescent="0.2"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/>
      <c r="AQ491" s="127"/>
      <c r="AR491" s="127"/>
      <c r="AS491" s="127"/>
      <c r="AT491" s="127"/>
      <c r="AU491" s="127"/>
      <c r="AV491" s="127"/>
      <c r="AW491" s="127"/>
      <c r="AX491" s="127"/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</row>
    <row r="492" spans="15:73" x14ac:dyDescent="0.2"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/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/>
      <c r="BQ492" s="127"/>
      <c r="BR492" s="127"/>
      <c r="BS492" s="127"/>
      <c r="BT492" s="127"/>
      <c r="BU492" s="127"/>
    </row>
    <row r="493" spans="15:73" x14ac:dyDescent="0.2"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</row>
    <row r="494" spans="15:73" x14ac:dyDescent="0.2"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</row>
    <row r="495" spans="15:73" x14ac:dyDescent="0.2"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</row>
    <row r="496" spans="15:73" x14ac:dyDescent="0.2"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  <c r="AN496" s="127"/>
      <c r="AO496" s="127"/>
      <c r="AP496" s="127"/>
      <c r="AQ496" s="127"/>
      <c r="AR496" s="127"/>
      <c r="AS496" s="127"/>
      <c r="AT496" s="127"/>
      <c r="AU496" s="127"/>
      <c r="AV496" s="127"/>
      <c r="AW496" s="127"/>
      <c r="AX496" s="127"/>
      <c r="AY496" s="127"/>
      <c r="AZ496" s="127"/>
      <c r="BA496" s="127"/>
      <c r="BB496" s="127"/>
      <c r="BC496" s="127"/>
      <c r="BD496" s="127"/>
      <c r="BE496" s="127"/>
      <c r="BF496" s="127"/>
      <c r="BG496" s="127"/>
      <c r="BH496" s="127"/>
      <c r="BI496" s="127"/>
      <c r="BJ496" s="127"/>
      <c r="BK496" s="127"/>
      <c r="BL496" s="127"/>
      <c r="BM496" s="127"/>
      <c r="BN496" s="127"/>
      <c r="BO496" s="127"/>
      <c r="BP496" s="127"/>
      <c r="BQ496" s="127"/>
      <c r="BR496" s="127"/>
      <c r="BS496" s="127"/>
      <c r="BT496" s="127"/>
      <c r="BU496" s="127"/>
    </row>
    <row r="497" spans="15:73" x14ac:dyDescent="0.2"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</row>
    <row r="498" spans="15:73" x14ac:dyDescent="0.2"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/>
      <c r="BU498" s="127"/>
    </row>
    <row r="499" spans="15:73" x14ac:dyDescent="0.2"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</row>
    <row r="500" spans="15:73" x14ac:dyDescent="0.2"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</row>
    <row r="501" spans="15:73" x14ac:dyDescent="0.2"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/>
      <c r="AY501" s="127"/>
      <c r="AZ501" s="127"/>
      <c r="BA501" s="127"/>
      <c r="BB501" s="127"/>
      <c r="BC501" s="127"/>
      <c r="BD501" s="127"/>
      <c r="BE501" s="127"/>
      <c r="BF501" s="127"/>
      <c r="BG501" s="127"/>
      <c r="BH501" s="127"/>
      <c r="BI501" s="127"/>
      <c r="BJ501" s="127"/>
      <c r="BK501" s="127"/>
      <c r="BL501" s="127"/>
      <c r="BM501" s="127"/>
      <c r="BN501" s="127"/>
      <c r="BO501" s="127"/>
      <c r="BP501" s="127"/>
      <c r="BQ501" s="127"/>
      <c r="BR501" s="127"/>
      <c r="BS501" s="127"/>
      <c r="BT501" s="127"/>
      <c r="BU501" s="127"/>
    </row>
    <row r="502" spans="15:73" x14ac:dyDescent="0.2"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/>
      <c r="BC502" s="127"/>
      <c r="BD502" s="127"/>
      <c r="BE502" s="127"/>
      <c r="BF502" s="127"/>
      <c r="BG502" s="127"/>
      <c r="BH502" s="127"/>
      <c r="BI502" s="127"/>
      <c r="BJ502" s="127"/>
      <c r="BK502" s="127"/>
      <c r="BL502" s="127"/>
      <c r="BM502" s="127"/>
      <c r="BN502" s="127"/>
      <c r="BO502" s="127"/>
      <c r="BP502" s="127"/>
      <c r="BQ502" s="127"/>
      <c r="BR502" s="127"/>
      <c r="BS502" s="127"/>
      <c r="BT502" s="127"/>
      <c r="BU502" s="127"/>
    </row>
    <row r="503" spans="15:73" x14ac:dyDescent="0.2"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  <c r="AM503" s="127"/>
      <c r="AN503" s="127"/>
      <c r="AO503" s="127"/>
      <c r="AP503" s="127"/>
      <c r="AQ503" s="127"/>
      <c r="AR503" s="127"/>
      <c r="AS503" s="127"/>
      <c r="AT503" s="127"/>
      <c r="AU503" s="127"/>
      <c r="AV503" s="127"/>
      <c r="AW503" s="127"/>
      <c r="AX503" s="127"/>
      <c r="AY503" s="127"/>
      <c r="AZ503" s="127"/>
      <c r="BA503" s="127"/>
      <c r="BB503" s="127"/>
      <c r="BC503" s="127"/>
      <c r="BD503" s="127"/>
      <c r="BE503" s="127"/>
      <c r="BF503" s="127"/>
      <c r="BG503" s="127"/>
      <c r="BH503" s="127"/>
      <c r="BI503" s="127"/>
      <c r="BJ503" s="127"/>
      <c r="BK503" s="127"/>
      <c r="BL503" s="127"/>
      <c r="BM503" s="127"/>
      <c r="BN503" s="127"/>
      <c r="BO503" s="127"/>
      <c r="BP503" s="127"/>
      <c r="BQ503" s="127"/>
      <c r="BR503" s="127"/>
      <c r="BS503" s="127"/>
      <c r="BT503" s="127"/>
      <c r="BU503" s="127"/>
    </row>
    <row r="504" spans="15:73" x14ac:dyDescent="0.2"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  <c r="AN504" s="127"/>
      <c r="AO504" s="127"/>
      <c r="AP504" s="127"/>
      <c r="AQ504" s="127"/>
      <c r="AR504" s="127"/>
      <c r="AS504" s="127"/>
      <c r="AT504" s="127"/>
      <c r="AU504" s="127"/>
      <c r="AV504" s="127"/>
      <c r="AW504" s="127"/>
      <c r="AX504" s="127"/>
      <c r="AY504" s="127"/>
      <c r="AZ504" s="127"/>
      <c r="BA504" s="127"/>
      <c r="BB504" s="127"/>
      <c r="BC504" s="127"/>
      <c r="BD504" s="127"/>
      <c r="BE504" s="127"/>
      <c r="BF504" s="127"/>
      <c r="BG504" s="127"/>
      <c r="BH504" s="127"/>
      <c r="BI504" s="127"/>
      <c r="BJ504" s="127"/>
      <c r="BK504" s="127"/>
      <c r="BL504" s="127"/>
      <c r="BM504" s="127"/>
      <c r="BN504" s="127"/>
      <c r="BO504" s="127"/>
      <c r="BP504" s="127"/>
      <c r="BQ504" s="127"/>
      <c r="BR504" s="127"/>
      <c r="BS504" s="127"/>
      <c r="BT504" s="127"/>
      <c r="BU504" s="127"/>
    </row>
    <row r="505" spans="15:73" x14ac:dyDescent="0.2"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  <c r="BE505" s="127"/>
      <c r="BF505" s="127"/>
      <c r="BG505" s="127"/>
      <c r="BH505" s="127"/>
      <c r="BI505" s="127"/>
      <c r="BJ505" s="127"/>
      <c r="BK505" s="127"/>
      <c r="BL505" s="127"/>
      <c r="BM505" s="127"/>
      <c r="BN505" s="127"/>
      <c r="BO505" s="127"/>
      <c r="BP505" s="127"/>
      <c r="BQ505" s="127"/>
      <c r="BR505" s="127"/>
      <c r="BS505" s="127"/>
      <c r="BT505" s="127"/>
      <c r="BU505" s="127"/>
    </row>
    <row r="506" spans="15:73" x14ac:dyDescent="0.2"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  <c r="AF506" s="127"/>
      <c r="AG506" s="127"/>
      <c r="AH506" s="127"/>
      <c r="AI506" s="127"/>
      <c r="AJ506" s="127"/>
      <c r="AK506" s="127"/>
      <c r="AL506" s="127"/>
      <c r="AM506" s="127"/>
      <c r="AN506" s="127"/>
      <c r="AO506" s="127"/>
      <c r="AP506" s="127"/>
      <c r="AQ506" s="127"/>
      <c r="AR506" s="127"/>
      <c r="AS506" s="127"/>
      <c r="AT506" s="127"/>
      <c r="AU506" s="127"/>
      <c r="AV506" s="127"/>
      <c r="AW506" s="127"/>
      <c r="AX506" s="127"/>
      <c r="AY506" s="127"/>
      <c r="AZ506" s="127"/>
      <c r="BA506" s="127"/>
      <c r="BB506" s="127"/>
      <c r="BC506" s="127"/>
      <c r="BD506" s="127"/>
      <c r="BE506" s="127"/>
      <c r="BF506" s="127"/>
      <c r="BG506" s="127"/>
      <c r="BH506" s="127"/>
      <c r="BI506" s="127"/>
      <c r="BJ506" s="127"/>
      <c r="BK506" s="127"/>
      <c r="BL506" s="127"/>
      <c r="BM506" s="127"/>
      <c r="BN506" s="127"/>
      <c r="BO506" s="127"/>
      <c r="BP506" s="127"/>
      <c r="BQ506" s="127"/>
      <c r="BR506" s="127"/>
      <c r="BS506" s="127"/>
      <c r="BT506" s="127"/>
      <c r="BU506" s="127"/>
    </row>
    <row r="507" spans="15:73" x14ac:dyDescent="0.2"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  <c r="AN507" s="127"/>
      <c r="AO507" s="127"/>
      <c r="AP507" s="127"/>
      <c r="AQ507" s="127"/>
      <c r="AR507" s="127"/>
      <c r="AS507" s="127"/>
      <c r="AT507" s="127"/>
      <c r="AU507" s="127"/>
      <c r="AV507" s="127"/>
      <c r="AW507" s="127"/>
      <c r="AX507" s="127"/>
      <c r="AY507" s="127"/>
      <c r="AZ507" s="127"/>
      <c r="BA507" s="127"/>
      <c r="BB507" s="127"/>
      <c r="BC507" s="127"/>
      <c r="BD507" s="127"/>
      <c r="BE507" s="127"/>
      <c r="BF507" s="127"/>
      <c r="BG507" s="127"/>
      <c r="BH507" s="127"/>
      <c r="BI507" s="127"/>
      <c r="BJ507" s="127"/>
      <c r="BK507" s="127"/>
      <c r="BL507" s="127"/>
      <c r="BM507" s="127"/>
      <c r="BN507" s="127"/>
      <c r="BO507" s="127"/>
      <c r="BP507" s="127"/>
      <c r="BQ507" s="127"/>
      <c r="BR507" s="127"/>
      <c r="BS507" s="127"/>
      <c r="BT507" s="127"/>
      <c r="BU507" s="127"/>
    </row>
    <row r="508" spans="15:73" x14ac:dyDescent="0.2"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  <c r="AN508" s="127"/>
      <c r="AO508" s="127"/>
      <c r="AP508" s="127"/>
      <c r="AQ508" s="127"/>
      <c r="AR508" s="127"/>
      <c r="AS508" s="127"/>
      <c r="AT508" s="127"/>
      <c r="AU508" s="127"/>
      <c r="AV508" s="127"/>
      <c r="AW508" s="127"/>
      <c r="AX508" s="127"/>
      <c r="AY508" s="127"/>
      <c r="AZ508" s="127"/>
      <c r="BA508" s="127"/>
      <c r="BB508" s="127"/>
      <c r="BC508" s="127"/>
      <c r="BD508" s="127"/>
      <c r="BE508" s="127"/>
      <c r="BF508" s="127"/>
      <c r="BG508" s="127"/>
      <c r="BH508" s="127"/>
      <c r="BI508" s="127"/>
      <c r="BJ508" s="127"/>
      <c r="BK508" s="127"/>
      <c r="BL508" s="127"/>
      <c r="BM508" s="127"/>
      <c r="BN508" s="127"/>
      <c r="BO508" s="127"/>
      <c r="BP508" s="127"/>
      <c r="BQ508" s="127"/>
      <c r="BR508" s="127"/>
      <c r="BS508" s="127"/>
      <c r="BT508" s="127"/>
      <c r="BU508" s="127"/>
    </row>
    <row r="509" spans="15:73" x14ac:dyDescent="0.2"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  <c r="AM509" s="127"/>
      <c r="AN509" s="127"/>
      <c r="AO509" s="127"/>
      <c r="AP509" s="127"/>
      <c r="AQ509" s="127"/>
      <c r="AR509" s="127"/>
      <c r="AS509" s="127"/>
      <c r="AT509" s="127"/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  <c r="BE509" s="127"/>
      <c r="BF509" s="127"/>
      <c r="BG509" s="127"/>
      <c r="BH509" s="127"/>
      <c r="BI509" s="127"/>
      <c r="BJ509" s="127"/>
      <c r="BK509" s="127"/>
      <c r="BL509" s="127"/>
      <c r="BM509" s="127"/>
      <c r="BN509" s="127"/>
      <c r="BO509" s="127"/>
      <c r="BP509" s="127"/>
      <c r="BQ509" s="127"/>
      <c r="BR509" s="127"/>
      <c r="BS509" s="127"/>
      <c r="BT509" s="127"/>
      <c r="BU509" s="127"/>
    </row>
    <row r="510" spans="15:73" x14ac:dyDescent="0.2"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  <c r="AF510" s="127"/>
      <c r="AG510" s="127"/>
      <c r="AH510" s="127"/>
      <c r="AI510" s="127"/>
      <c r="AJ510" s="127"/>
      <c r="AK510" s="127"/>
      <c r="AL510" s="127"/>
      <c r="AM510" s="127"/>
      <c r="AN510" s="127"/>
      <c r="AO510" s="127"/>
      <c r="AP510" s="127"/>
      <c r="AQ510" s="127"/>
      <c r="AR510" s="127"/>
      <c r="AS510" s="127"/>
      <c r="AT510" s="127"/>
      <c r="AU510" s="127"/>
      <c r="AV510" s="127"/>
      <c r="AW510" s="127"/>
      <c r="AX510" s="127"/>
      <c r="AY510" s="127"/>
      <c r="AZ510" s="127"/>
      <c r="BA510" s="127"/>
      <c r="BB510" s="127"/>
      <c r="BC510" s="127"/>
      <c r="BD510" s="127"/>
      <c r="BE510" s="127"/>
      <c r="BF510" s="127"/>
      <c r="BG510" s="127"/>
      <c r="BH510" s="127"/>
      <c r="BI510" s="127"/>
      <c r="BJ510" s="127"/>
      <c r="BK510" s="127"/>
      <c r="BL510" s="127"/>
      <c r="BM510" s="127"/>
      <c r="BN510" s="127"/>
      <c r="BO510" s="127"/>
      <c r="BP510" s="127"/>
      <c r="BQ510" s="127"/>
      <c r="BR510" s="127"/>
      <c r="BS510" s="127"/>
      <c r="BT510" s="127"/>
      <c r="BU510" s="127"/>
    </row>
    <row r="511" spans="15:73" x14ac:dyDescent="0.2"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  <c r="AF511" s="127"/>
      <c r="AG511" s="127"/>
      <c r="AH511" s="127"/>
      <c r="AI511" s="127"/>
      <c r="AJ511" s="127"/>
      <c r="AK511" s="127"/>
      <c r="AL511" s="127"/>
      <c r="AM511" s="127"/>
      <c r="AN511" s="127"/>
      <c r="AO511" s="127"/>
      <c r="AP511" s="127"/>
      <c r="AQ511" s="127"/>
      <c r="AR511" s="127"/>
      <c r="AS511" s="127"/>
      <c r="AT511" s="127"/>
      <c r="AU511" s="127"/>
      <c r="AV511" s="127"/>
      <c r="AW511" s="127"/>
      <c r="AX511" s="127"/>
      <c r="AY511" s="127"/>
      <c r="AZ511" s="127"/>
      <c r="BA511" s="127"/>
      <c r="BB511" s="127"/>
      <c r="BC511" s="127"/>
      <c r="BD511" s="127"/>
      <c r="BE511" s="127"/>
      <c r="BF511" s="127"/>
      <c r="BG511" s="127"/>
      <c r="BH511" s="127"/>
      <c r="BI511" s="127"/>
      <c r="BJ511" s="127"/>
      <c r="BK511" s="127"/>
      <c r="BL511" s="127"/>
      <c r="BM511" s="127"/>
      <c r="BN511" s="127"/>
      <c r="BO511" s="127"/>
      <c r="BP511" s="127"/>
      <c r="BQ511" s="127"/>
      <c r="BR511" s="127"/>
      <c r="BS511" s="127"/>
      <c r="BT511" s="127"/>
      <c r="BU511" s="127"/>
    </row>
    <row r="512" spans="15:73" x14ac:dyDescent="0.2"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  <c r="AF512" s="127"/>
      <c r="AG512" s="127"/>
      <c r="AH512" s="127"/>
      <c r="AI512" s="127"/>
      <c r="AJ512" s="127"/>
      <c r="AK512" s="127"/>
      <c r="AL512" s="127"/>
      <c r="AM512" s="127"/>
      <c r="AN512" s="127"/>
      <c r="AO512" s="127"/>
      <c r="AP512" s="127"/>
      <c r="AQ512" s="127"/>
      <c r="AR512" s="127"/>
      <c r="AS512" s="127"/>
      <c r="AT512" s="127"/>
      <c r="AU512" s="127"/>
      <c r="AV512" s="127"/>
      <c r="AW512" s="127"/>
      <c r="AX512" s="127"/>
      <c r="AY512" s="127"/>
      <c r="AZ512" s="127"/>
      <c r="BA512" s="127"/>
      <c r="BB512" s="127"/>
      <c r="BC512" s="127"/>
      <c r="BD512" s="127"/>
      <c r="BE512" s="127"/>
      <c r="BF512" s="127"/>
      <c r="BG512" s="127"/>
      <c r="BH512" s="127"/>
      <c r="BI512" s="127"/>
      <c r="BJ512" s="127"/>
      <c r="BK512" s="127"/>
      <c r="BL512" s="127"/>
      <c r="BM512" s="127"/>
      <c r="BN512" s="127"/>
      <c r="BO512" s="127"/>
      <c r="BP512" s="127"/>
      <c r="BQ512" s="127"/>
      <c r="BR512" s="127"/>
      <c r="BS512" s="127"/>
      <c r="BT512" s="127"/>
      <c r="BU512" s="127"/>
    </row>
    <row r="513" spans="15:73" x14ac:dyDescent="0.2"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  <c r="AN513" s="127"/>
      <c r="AO513" s="127"/>
      <c r="AP513" s="127"/>
      <c r="AQ513" s="127"/>
      <c r="AR513" s="127"/>
      <c r="AS513" s="127"/>
      <c r="AT513" s="127"/>
      <c r="AU513" s="127"/>
      <c r="AV513" s="127"/>
      <c r="AW513" s="127"/>
      <c r="AX513" s="127"/>
      <c r="AY513" s="127"/>
      <c r="AZ513" s="127"/>
      <c r="BA513" s="127"/>
      <c r="BB513" s="127"/>
      <c r="BC513" s="127"/>
      <c r="BD513" s="127"/>
      <c r="BE513" s="127"/>
      <c r="BF513" s="127"/>
      <c r="BG513" s="127"/>
      <c r="BH513" s="127"/>
      <c r="BI513" s="127"/>
      <c r="BJ513" s="127"/>
      <c r="BK513" s="127"/>
      <c r="BL513" s="127"/>
      <c r="BM513" s="127"/>
      <c r="BN513" s="127"/>
      <c r="BO513" s="127"/>
      <c r="BP513" s="127"/>
      <c r="BQ513" s="127"/>
      <c r="BR513" s="127"/>
      <c r="BS513" s="127"/>
      <c r="BT513" s="127"/>
      <c r="BU513" s="127"/>
    </row>
    <row r="514" spans="15:73" x14ac:dyDescent="0.2"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/>
      <c r="AK514" s="127"/>
      <c r="AL514" s="127"/>
      <c r="AM514" s="127"/>
      <c r="AN514" s="127"/>
      <c r="AO514" s="127"/>
      <c r="AP514" s="127"/>
      <c r="AQ514" s="127"/>
      <c r="AR514" s="127"/>
      <c r="AS514" s="127"/>
      <c r="AT514" s="127"/>
      <c r="AU514" s="127"/>
      <c r="AV514" s="127"/>
      <c r="AW514" s="127"/>
      <c r="AX514" s="127"/>
      <c r="AY514" s="127"/>
      <c r="AZ514" s="127"/>
      <c r="BA514" s="127"/>
      <c r="BB514" s="127"/>
      <c r="BC514" s="127"/>
      <c r="BD514" s="127"/>
      <c r="BE514" s="127"/>
      <c r="BF514" s="127"/>
      <c r="BG514" s="127"/>
      <c r="BH514" s="127"/>
      <c r="BI514" s="127"/>
      <c r="BJ514" s="127"/>
      <c r="BK514" s="127"/>
      <c r="BL514" s="127"/>
      <c r="BM514" s="127"/>
      <c r="BN514" s="127"/>
      <c r="BO514" s="127"/>
      <c r="BP514" s="127"/>
      <c r="BQ514" s="127"/>
      <c r="BR514" s="127"/>
      <c r="BS514" s="127"/>
      <c r="BT514" s="127"/>
      <c r="BU514" s="127"/>
    </row>
    <row r="515" spans="15:73" x14ac:dyDescent="0.2"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  <c r="AN515" s="127"/>
      <c r="AO515" s="127"/>
      <c r="AP515" s="127"/>
      <c r="AQ515" s="127"/>
      <c r="AR515" s="127"/>
      <c r="AS515" s="127"/>
      <c r="AT515" s="127"/>
      <c r="AU515" s="127"/>
      <c r="AV515" s="127"/>
      <c r="AW515" s="127"/>
      <c r="AX515" s="127"/>
      <c r="AY515" s="127"/>
      <c r="AZ515" s="127"/>
      <c r="BA515" s="127"/>
      <c r="BB515" s="127"/>
      <c r="BC515" s="127"/>
      <c r="BD515" s="127"/>
      <c r="BE515" s="127"/>
      <c r="BF515" s="127"/>
      <c r="BG515" s="127"/>
      <c r="BH515" s="127"/>
      <c r="BI515" s="127"/>
      <c r="BJ515" s="127"/>
      <c r="BK515" s="127"/>
      <c r="BL515" s="127"/>
      <c r="BM515" s="127"/>
      <c r="BN515" s="127"/>
      <c r="BO515" s="127"/>
      <c r="BP515" s="127"/>
      <c r="BQ515" s="127"/>
      <c r="BR515" s="127"/>
      <c r="BS515" s="127"/>
      <c r="BT515" s="127"/>
      <c r="BU515" s="127"/>
    </row>
    <row r="516" spans="15:73" x14ac:dyDescent="0.2"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  <c r="AN516" s="127"/>
      <c r="AO516" s="127"/>
      <c r="AP516" s="127"/>
      <c r="AQ516" s="127"/>
      <c r="AR516" s="127"/>
      <c r="AS516" s="127"/>
      <c r="AT516" s="127"/>
      <c r="AU516" s="127"/>
      <c r="AV516" s="127"/>
      <c r="AW516" s="127"/>
      <c r="AX516" s="127"/>
      <c r="AY516" s="127"/>
      <c r="AZ516" s="127"/>
      <c r="BA516" s="127"/>
      <c r="BB516" s="127"/>
      <c r="BC516" s="127"/>
      <c r="BD516" s="127"/>
      <c r="BE516" s="127"/>
      <c r="BF516" s="127"/>
      <c r="BG516" s="127"/>
      <c r="BH516" s="127"/>
      <c r="BI516" s="127"/>
      <c r="BJ516" s="127"/>
      <c r="BK516" s="127"/>
      <c r="BL516" s="127"/>
      <c r="BM516" s="127"/>
      <c r="BN516" s="127"/>
      <c r="BO516" s="127"/>
      <c r="BP516" s="127"/>
      <c r="BQ516" s="127"/>
      <c r="BR516" s="127"/>
      <c r="BS516" s="127"/>
      <c r="BT516" s="127"/>
      <c r="BU516" s="127"/>
    </row>
    <row r="517" spans="15:73" x14ac:dyDescent="0.2"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  <c r="AN517" s="127"/>
      <c r="AO517" s="127"/>
      <c r="AP517" s="127"/>
      <c r="AQ517" s="127"/>
      <c r="AR517" s="127"/>
      <c r="AS517" s="127"/>
      <c r="AT517" s="127"/>
      <c r="AU517" s="127"/>
      <c r="AV517" s="127"/>
      <c r="AW517" s="127"/>
      <c r="AX517" s="127"/>
      <c r="AY517" s="127"/>
      <c r="AZ517" s="127"/>
      <c r="BA517" s="127"/>
      <c r="BB517" s="127"/>
      <c r="BC517" s="127"/>
      <c r="BD517" s="127"/>
      <c r="BE517" s="127"/>
      <c r="BF517" s="127"/>
      <c r="BG517" s="127"/>
      <c r="BH517" s="127"/>
      <c r="BI517" s="127"/>
      <c r="BJ517" s="127"/>
      <c r="BK517" s="127"/>
      <c r="BL517" s="127"/>
      <c r="BM517" s="127"/>
      <c r="BN517" s="127"/>
      <c r="BO517" s="127"/>
      <c r="BP517" s="127"/>
      <c r="BQ517" s="127"/>
      <c r="BR517" s="127"/>
      <c r="BS517" s="127"/>
      <c r="BT517" s="127"/>
      <c r="BU517" s="127"/>
    </row>
    <row r="518" spans="15:73" x14ac:dyDescent="0.2"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/>
      <c r="AM518" s="127"/>
      <c r="AN518" s="127"/>
      <c r="AO518" s="127"/>
      <c r="AP518" s="127"/>
      <c r="AQ518" s="127"/>
      <c r="AR518" s="127"/>
      <c r="AS518" s="127"/>
      <c r="AT518" s="127"/>
      <c r="AU518" s="127"/>
      <c r="AV518" s="127"/>
      <c r="AW518" s="127"/>
      <c r="AX518" s="127"/>
      <c r="AY518" s="127"/>
      <c r="AZ518" s="127"/>
      <c r="BA518" s="127"/>
      <c r="BB518" s="127"/>
      <c r="BC518" s="127"/>
      <c r="BD518" s="127"/>
      <c r="BE518" s="127"/>
      <c r="BF518" s="127"/>
      <c r="BG518" s="127"/>
      <c r="BH518" s="127"/>
      <c r="BI518" s="127"/>
      <c r="BJ518" s="127"/>
      <c r="BK518" s="127"/>
      <c r="BL518" s="127"/>
      <c r="BM518" s="127"/>
      <c r="BN518" s="127"/>
      <c r="BO518" s="127"/>
      <c r="BP518" s="127"/>
      <c r="BQ518" s="127"/>
      <c r="BR518" s="127"/>
      <c r="BS518" s="127"/>
      <c r="BT518" s="127"/>
      <c r="BU518" s="127"/>
    </row>
    <row r="519" spans="15:73" x14ac:dyDescent="0.2"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  <c r="BE519" s="127"/>
      <c r="BF519" s="127"/>
      <c r="BG519" s="127"/>
      <c r="BH519" s="127"/>
      <c r="BI519" s="127"/>
      <c r="BJ519" s="127"/>
      <c r="BK519" s="127"/>
      <c r="BL519" s="127"/>
      <c r="BM519" s="127"/>
      <c r="BN519" s="127"/>
      <c r="BO519" s="127"/>
      <c r="BP519" s="127"/>
      <c r="BQ519" s="127"/>
      <c r="BR519" s="127"/>
      <c r="BS519" s="127"/>
      <c r="BT519" s="127"/>
      <c r="BU519" s="127"/>
    </row>
    <row r="520" spans="15:73" x14ac:dyDescent="0.2"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  <c r="AO520" s="127"/>
      <c r="AP520" s="127"/>
      <c r="AQ520" s="127"/>
      <c r="AR520" s="127"/>
      <c r="AS520" s="127"/>
      <c r="AT520" s="127"/>
      <c r="AU520" s="127"/>
      <c r="AV520" s="127"/>
      <c r="AW520" s="127"/>
      <c r="AX520" s="127"/>
      <c r="AY520" s="127"/>
      <c r="AZ520" s="127"/>
      <c r="BA520" s="127"/>
      <c r="BB520" s="127"/>
      <c r="BC520" s="127"/>
      <c r="BD520" s="127"/>
      <c r="BE520" s="127"/>
      <c r="BF520" s="127"/>
      <c r="BG520" s="127"/>
      <c r="BH520" s="127"/>
      <c r="BI520" s="127"/>
      <c r="BJ520" s="127"/>
      <c r="BK520" s="127"/>
      <c r="BL520" s="127"/>
      <c r="BM520" s="127"/>
      <c r="BN520" s="127"/>
      <c r="BO520" s="127"/>
      <c r="BP520" s="127"/>
      <c r="BQ520" s="127"/>
      <c r="BR520" s="127"/>
      <c r="BS520" s="127"/>
      <c r="BT520" s="127"/>
      <c r="BU520" s="127"/>
    </row>
    <row r="521" spans="15:73" x14ac:dyDescent="0.2"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  <c r="AO521" s="127"/>
      <c r="AP521" s="127"/>
      <c r="AQ521" s="127"/>
      <c r="AR521" s="127"/>
      <c r="AS521" s="127"/>
      <c r="AT521" s="127"/>
      <c r="AU521" s="127"/>
      <c r="AV521" s="127"/>
      <c r="AW521" s="127"/>
      <c r="AX521" s="127"/>
      <c r="AY521" s="127"/>
      <c r="AZ521" s="127"/>
      <c r="BA521" s="127"/>
      <c r="BB521" s="127"/>
      <c r="BC521" s="127"/>
      <c r="BD521" s="127"/>
      <c r="BE521" s="127"/>
      <c r="BF521" s="127"/>
      <c r="BG521" s="127"/>
      <c r="BH521" s="127"/>
      <c r="BI521" s="127"/>
      <c r="BJ521" s="127"/>
      <c r="BK521" s="127"/>
      <c r="BL521" s="127"/>
      <c r="BM521" s="127"/>
      <c r="BN521" s="127"/>
      <c r="BO521" s="127"/>
      <c r="BP521" s="127"/>
      <c r="BQ521" s="127"/>
      <c r="BR521" s="127"/>
      <c r="BS521" s="127"/>
      <c r="BT521" s="127"/>
      <c r="BU521" s="127"/>
    </row>
    <row r="522" spans="15:73" x14ac:dyDescent="0.2"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</row>
    <row r="523" spans="15:73" x14ac:dyDescent="0.2"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  <c r="AN523" s="127"/>
      <c r="AO523" s="127"/>
      <c r="AP523" s="127"/>
      <c r="AQ523" s="127"/>
      <c r="AR523" s="127"/>
      <c r="AS523" s="127"/>
      <c r="AT523" s="127"/>
      <c r="AU523" s="127"/>
      <c r="AV523" s="127"/>
      <c r="AW523" s="127"/>
      <c r="AX523" s="127"/>
      <c r="AY523" s="127"/>
      <c r="AZ523" s="127"/>
      <c r="BA523" s="127"/>
      <c r="BB523" s="127"/>
      <c r="BC523" s="127"/>
      <c r="BD523" s="127"/>
      <c r="BE523" s="127"/>
      <c r="BF523" s="127"/>
      <c r="BG523" s="127"/>
      <c r="BH523" s="127"/>
      <c r="BI523" s="127"/>
      <c r="BJ523" s="127"/>
      <c r="BK523" s="127"/>
      <c r="BL523" s="127"/>
      <c r="BM523" s="127"/>
      <c r="BN523" s="127"/>
      <c r="BO523" s="127"/>
      <c r="BP523" s="127"/>
      <c r="BQ523" s="127"/>
      <c r="BR523" s="127"/>
      <c r="BS523" s="127"/>
      <c r="BT523" s="127"/>
      <c r="BU523" s="127"/>
    </row>
    <row r="524" spans="15:73" x14ac:dyDescent="0.2"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/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  <c r="BE524" s="127"/>
      <c r="BF524" s="127"/>
      <c r="BG524" s="127"/>
      <c r="BH524" s="127"/>
      <c r="BI524" s="127"/>
      <c r="BJ524" s="127"/>
      <c r="BK524" s="127"/>
      <c r="BL524" s="127"/>
      <c r="BM524" s="127"/>
      <c r="BN524" s="127"/>
      <c r="BO524" s="127"/>
      <c r="BP524" s="127"/>
      <c r="BQ524" s="127"/>
      <c r="BR524" s="127"/>
      <c r="BS524" s="127"/>
      <c r="BT524" s="127"/>
      <c r="BU524" s="127"/>
    </row>
    <row r="525" spans="15:73" x14ac:dyDescent="0.2"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  <c r="AN525" s="127"/>
      <c r="AO525" s="127"/>
      <c r="AP525" s="127"/>
      <c r="AQ525" s="127"/>
      <c r="AR525" s="127"/>
      <c r="AS525" s="127"/>
      <c r="AT525" s="127"/>
      <c r="AU525" s="127"/>
      <c r="AV525" s="127"/>
      <c r="AW525" s="127"/>
      <c r="AX525" s="127"/>
      <c r="AY525" s="127"/>
      <c r="AZ525" s="127"/>
      <c r="BA525" s="127"/>
      <c r="BB525" s="127"/>
      <c r="BC525" s="127"/>
      <c r="BD525" s="127"/>
      <c r="BE525" s="127"/>
      <c r="BF525" s="127"/>
      <c r="BG525" s="127"/>
      <c r="BH525" s="127"/>
      <c r="BI525" s="127"/>
      <c r="BJ525" s="127"/>
      <c r="BK525" s="127"/>
      <c r="BL525" s="127"/>
      <c r="BM525" s="127"/>
      <c r="BN525" s="127"/>
      <c r="BO525" s="127"/>
      <c r="BP525" s="127"/>
      <c r="BQ525" s="127"/>
      <c r="BR525" s="127"/>
      <c r="BS525" s="127"/>
      <c r="BT525" s="127"/>
      <c r="BU525" s="127"/>
    </row>
    <row r="526" spans="15:73" x14ac:dyDescent="0.2"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/>
      <c r="BA526" s="127"/>
      <c r="BB526" s="127"/>
      <c r="BC526" s="127"/>
      <c r="BD526" s="127"/>
      <c r="BE526" s="127"/>
      <c r="BF526" s="127"/>
      <c r="BG526" s="127"/>
      <c r="BH526" s="127"/>
      <c r="BI526" s="127"/>
      <c r="BJ526" s="127"/>
      <c r="BK526" s="127"/>
      <c r="BL526" s="127"/>
      <c r="BM526" s="127"/>
      <c r="BN526" s="127"/>
      <c r="BO526" s="127"/>
      <c r="BP526" s="127"/>
      <c r="BQ526" s="127"/>
      <c r="BR526" s="127"/>
      <c r="BS526" s="127"/>
      <c r="BT526" s="127"/>
      <c r="BU526" s="127"/>
    </row>
    <row r="527" spans="15:73" x14ac:dyDescent="0.2"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  <c r="AN527" s="127"/>
      <c r="AO527" s="127"/>
      <c r="AP527" s="127"/>
      <c r="AQ527" s="127"/>
      <c r="AR527" s="127"/>
      <c r="AS527" s="127"/>
      <c r="AT527" s="127"/>
      <c r="AU527" s="127"/>
      <c r="AV527" s="127"/>
      <c r="AW527" s="127"/>
      <c r="AX527" s="127"/>
      <c r="AY527" s="127"/>
      <c r="AZ527" s="127"/>
      <c r="BA527" s="127"/>
      <c r="BB527" s="127"/>
      <c r="BC527" s="127"/>
      <c r="BD527" s="127"/>
      <c r="BE527" s="127"/>
      <c r="BF527" s="127"/>
      <c r="BG527" s="127"/>
      <c r="BH527" s="127"/>
      <c r="BI527" s="127"/>
      <c r="BJ527" s="127"/>
      <c r="BK527" s="127"/>
      <c r="BL527" s="127"/>
      <c r="BM527" s="127"/>
      <c r="BN527" s="127"/>
      <c r="BO527" s="127"/>
      <c r="BP527" s="127"/>
      <c r="BQ527" s="127"/>
      <c r="BR527" s="127"/>
      <c r="BS527" s="127"/>
      <c r="BT527" s="127"/>
      <c r="BU527" s="127"/>
    </row>
    <row r="528" spans="15:73" x14ac:dyDescent="0.2"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/>
      <c r="BB528" s="127"/>
      <c r="BC528" s="127"/>
      <c r="BD528" s="127"/>
      <c r="BE528" s="127"/>
      <c r="BF528" s="127"/>
      <c r="BG528" s="127"/>
      <c r="BH528" s="127"/>
      <c r="BI528" s="127"/>
      <c r="BJ528" s="127"/>
      <c r="BK528" s="127"/>
      <c r="BL528" s="127"/>
      <c r="BM528" s="127"/>
      <c r="BN528" s="127"/>
      <c r="BO528" s="127"/>
      <c r="BP528" s="127"/>
      <c r="BQ528" s="127"/>
      <c r="BR528" s="127"/>
      <c r="BS528" s="127"/>
      <c r="BT528" s="127"/>
      <c r="BU528" s="127"/>
    </row>
    <row r="529" spans="15:73" x14ac:dyDescent="0.2"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/>
      <c r="AW529" s="127"/>
      <c r="AX529" s="127"/>
      <c r="AY529" s="127"/>
      <c r="AZ529" s="127"/>
      <c r="BA529" s="127"/>
      <c r="BB529" s="127"/>
      <c r="BC529" s="127"/>
      <c r="BD529" s="127"/>
      <c r="BE529" s="127"/>
      <c r="BF529" s="127"/>
      <c r="BG529" s="127"/>
      <c r="BH529" s="127"/>
      <c r="BI529" s="127"/>
      <c r="BJ529" s="127"/>
      <c r="BK529" s="127"/>
      <c r="BL529" s="127"/>
      <c r="BM529" s="127"/>
      <c r="BN529" s="127"/>
      <c r="BO529" s="127"/>
      <c r="BP529" s="127"/>
      <c r="BQ529" s="127"/>
      <c r="BR529" s="127"/>
      <c r="BS529" s="127"/>
      <c r="BT529" s="127"/>
      <c r="BU529" s="127"/>
    </row>
    <row r="530" spans="15:73" x14ac:dyDescent="0.2"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7"/>
      <c r="BF530" s="127"/>
      <c r="BG530" s="127"/>
      <c r="BH530" s="127"/>
      <c r="BI530" s="127"/>
      <c r="BJ530" s="127"/>
      <c r="BK530" s="127"/>
      <c r="BL530" s="127"/>
      <c r="BM530" s="127"/>
      <c r="BN530" s="127"/>
      <c r="BO530" s="127"/>
      <c r="BP530" s="127"/>
      <c r="BQ530" s="127"/>
      <c r="BR530" s="127"/>
      <c r="BS530" s="127"/>
      <c r="BT530" s="127"/>
      <c r="BU530" s="127"/>
    </row>
    <row r="531" spans="15:73" x14ac:dyDescent="0.2"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  <c r="BE531" s="127"/>
      <c r="BF531" s="127"/>
      <c r="BG531" s="127"/>
      <c r="BH531" s="127"/>
      <c r="BI531" s="127"/>
      <c r="BJ531" s="127"/>
      <c r="BK531" s="127"/>
      <c r="BL531" s="127"/>
      <c r="BM531" s="127"/>
      <c r="BN531" s="127"/>
      <c r="BO531" s="127"/>
      <c r="BP531" s="127"/>
      <c r="BQ531" s="127"/>
      <c r="BR531" s="127"/>
      <c r="BS531" s="127"/>
      <c r="BT531" s="127"/>
      <c r="BU531" s="127"/>
    </row>
    <row r="532" spans="15:73" x14ac:dyDescent="0.2"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  <c r="AN532" s="127"/>
      <c r="AO532" s="127"/>
      <c r="AP532" s="127"/>
      <c r="AQ532" s="127"/>
      <c r="AR532" s="127"/>
      <c r="AS532" s="127"/>
      <c r="AT532" s="127"/>
      <c r="AU532" s="127"/>
      <c r="AV532" s="127"/>
      <c r="AW532" s="127"/>
      <c r="AX532" s="127"/>
      <c r="AY532" s="127"/>
      <c r="AZ532" s="127"/>
      <c r="BA532" s="127"/>
      <c r="BB532" s="127"/>
      <c r="BC532" s="127"/>
      <c r="BD532" s="127"/>
      <c r="BE532" s="127"/>
      <c r="BF532" s="127"/>
      <c r="BG532" s="127"/>
      <c r="BH532" s="127"/>
      <c r="BI532" s="127"/>
      <c r="BJ532" s="127"/>
      <c r="BK532" s="127"/>
      <c r="BL532" s="127"/>
      <c r="BM532" s="127"/>
      <c r="BN532" s="127"/>
      <c r="BO532" s="127"/>
      <c r="BP532" s="127"/>
      <c r="BQ532" s="127"/>
      <c r="BR532" s="127"/>
      <c r="BS532" s="127"/>
      <c r="BT532" s="127"/>
      <c r="BU532" s="127"/>
    </row>
    <row r="533" spans="15:73" x14ac:dyDescent="0.2"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127"/>
      <c r="AU533" s="127"/>
      <c r="AV533" s="127"/>
      <c r="AW533" s="127"/>
      <c r="AX533" s="127"/>
      <c r="AY533" s="127"/>
      <c r="AZ533" s="127"/>
      <c r="BA533" s="127"/>
      <c r="BB533" s="127"/>
      <c r="BC533" s="127"/>
      <c r="BD533" s="127"/>
      <c r="BE533" s="127"/>
      <c r="BF533" s="127"/>
      <c r="BG533" s="127"/>
      <c r="BH533" s="127"/>
      <c r="BI533" s="127"/>
      <c r="BJ533" s="127"/>
      <c r="BK533" s="127"/>
      <c r="BL533" s="127"/>
      <c r="BM533" s="127"/>
      <c r="BN533" s="127"/>
      <c r="BO533" s="127"/>
      <c r="BP533" s="127"/>
      <c r="BQ533" s="127"/>
      <c r="BR533" s="127"/>
      <c r="BS533" s="127"/>
      <c r="BT533" s="127"/>
      <c r="BU533" s="127"/>
    </row>
    <row r="534" spans="15:73" x14ac:dyDescent="0.2"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  <c r="AN534" s="127"/>
      <c r="AO534" s="127"/>
      <c r="AP534" s="127"/>
      <c r="AQ534" s="127"/>
      <c r="AR534" s="127"/>
      <c r="AS534" s="127"/>
      <c r="AT534" s="127"/>
      <c r="AU534" s="127"/>
      <c r="AV534" s="127"/>
      <c r="AW534" s="127"/>
      <c r="AX534" s="127"/>
      <c r="AY534" s="127"/>
      <c r="AZ534" s="127"/>
      <c r="BA534" s="127"/>
      <c r="BB534" s="127"/>
      <c r="BC534" s="127"/>
      <c r="BD534" s="127"/>
      <c r="BE534" s="127"/>
      <c r="BF534" s="127"/>
      <c r="BG534" s="127"/>
      <c r="BH534" s="127"/>
      <c r="BI534" s="127"/>
      <c r="BJ534" s="127"/>
      <c r="BK534" s="127"/>
      <c r="BL534" s="127"/>
      <c r="BM534" s="127"/>
      <c r="BN534" s="127"/>
      <c r="BO534" s="127"/>
      <c r="BP534" s="127"/>
      <c r="BQ534" s="127"/>
      <c r="BR534" s="127"/>
      <c r="BS534" s="127"/>
      <c r="BT534" s="127"/>
      <c r="BU534" s="127"/>
    </row>
    <row r="535" spans="15:73" x14ac:dyDescent="0.2"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  <c r="AN535" s="127"/>
      <c r="AO535" s="127"/>
      <c r="AP535" s="127"/>
      <c r="AQ535" s="127"/>
      <c r="AR535" s="127"/>
      <c r="AS535" s="127"/>
      <c r="AT535" s="127"/>
      <c r="AU535" s="127"/>
      <c r="AV535" s="127"/>
      <c r="AW535" s="127"/>
      <c r="AX535" s="127"/>
      <c r="AY535" s="127"/>
      <c r="AZ535" s="127"/>
      <c r="BA535" s="127"/>
      <c r="BB535" s="127"/>
      <c r="BC535" s="127"/>
      <c r="BD535" s="127"/>
      <c r="BE535" s="127"/>
      <c r="BF535" s="127"/>
      <c r="BG535" s="127"/>
      <c r="BH535" s="127"/>
      <c r="BI535" s="127"/>
      <c r="BJ535" s="127"/>
      <c r="BK535" s="127"/>
      <c r="BL535" s="127"/>
      <c r="BM535" s="127"/>
      <c r="BN535" s="127"/>
      <c r="BO535" s="127"/>
      <c r="BP535" s="127"/>
      <c r="BQ535" s="127"/>
      <c r="BR535" s="127"/>
      <c r="BS535" s="127"/>
      <c r="BT535" s="127"/>
      <c r="BU535" s="127"/>
    </row>
    <row r="536" spans="15:73" x14ac:dyDescent="0.2"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  <c r="AO536" s="127"/>
      <c r="AP536" s="127"/>
      <c r="AQ536" s="127"/>
      <c r="AR536" s="127"/>
      <c r="AS536" s="127"/>
      <c r="AT536" s="127"/>
      <c r="AU536" s="127"/>
      <c r="AV536" s="127"/>
      <c r="AW536" s="127"/>
      <c r="AX536" s="127"/>
      <c r="AY536" s="127"/>
      <c r="AZ536" s="127"/>
      <c r="BA536" s="127"/>
      <c r="BB536" s="127"/>
      <c r="BC536" s="127"/>
      <c r="BD536" s="127"/>
      <c r="BE536" s="127"/>
      <c r="BF536" s="127"/>
      <c r="BG536" s="127"/>
      <c r="BH536" s="127"/>
      <c r="BI536" s="127"/>
      <c r="BJ536" s="127"/>
      <c r="BK536" s="127"/>
      <c r="BL536" s="127"/>
      <c r="BM536" s="127"/>
      <c r="BN536" s="127"/>
      <c r="BO536" s="127"/>
      <c r="BP536" s="127"/>
      <c r="BQ536" s="127"/>
      <c r="BR536" s="127"/>
      <c r="BS536" s="127"/>
      <c r="BT536" s="127"/>
      <c r="BU536" s="127"/>
    </row>
    <row r="537" spans="15:73" x14ac:dyDescent="0.2"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  <c r="AO537" s="127"/>
      <c r="AP537" s="127"/>
      <c r="AQ537" s="127"/>
      <c r="AR537" s="127"/>
      <c r="AS537" s="127"/>
      <c r="AT537" s="127"/>
      <c r="AU537" s="127"/>
      <c r="AV537" s="127"/>
      <c r="AW537" s="127"/>
      <c r="AX537" s="127"/>
      <c r="AY537" s="127"/>
      <c r="AZ537" s="127"/>
      <c r="BA537" s="127"/>
      <c r="BB537" s="127"/>
      <c r="BC537" s="127"/>
      <c r="BD537" s="127"/>
      <c r="BE537" s="127"/>
      <c r="BF537" s="127"/>
      <c r="BG537" s="127"/>
      <c r="BH537" s="127"/>
      <c r="BI537" s="127"/>
      <c r="BJ537" s="127"/>
      <c r="BK537" s="127"/>
      <c r="BL537" s="127"/>
      <c r="BM537" s="127"/>
      <c r="BN537" s="127"/>
      <c r="BO537" s="127"/>
      <c r="BP537" s="127"/>
      <c r="BQ537" s="127"/>
      <c r="BR537" s="127"/>
      <c r="BS537" s="127"/>
      <c r="BT537" s="127"/>
      <c r="BU537" s="127"/>
    </row>
    <row r="538" spans="15:73" x14ac:dyDescent="0.2"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  <c r="AN538" s="127"/>
      <c r="AO538" s="127"/>
      <c r="AP538" s="127"/>
      <c r="AQ538" s="127"/>
      <c r="AR538" s="127"/>
      <c r="AS538" s="127"/>
      <c r="AT538" s="127"/>
      <c r="AU538" s="127"/>
      <c r="AV538" s="127"/>
      <c r="AW538" s="127"/>
      <c r="AX538" s="127"/>
      <c r="AY538" s="127"/>
      <c r="AZ538" s="127"/>
      <c r="BA538" s="127"/>
      <c r="BB538" s="127"/>
      <c r="BC538" s="127"/>
      <c r="BD538" s="127"/>
      <c r="BE538" s="127"/>
      <c r="BF538" s="127"/>
      <c r="BG538" s="127"/>
      <c r="BH538" s="127"/>
      <c r="BI538" s="127"/>
      <c r="BJ538" s="127"/>
      <c r="BK538" s="127"/>
      <c r="BL538" s="127"/>
      <c r="BM538" s="127"/>
      <c r="BN538" s="127"/>
      <c r="BO538" s="127"/>
      <c r="BP538" s="127"/>
      <c r="BQ538" s="127"/>
      <c r="BR538" s="127"/>
      <c r="BS538" s="127"/>
      <c r="BT538" s="127"/>
      <c r="BU538" s="127"/>
    </row>
    <row r="539" spans="15:73" x14ac:dyDescent="0.2"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  <c r="AN539" s="127"/>
      <c r="AO539" s="127"/>
      <c r="AP539" s="127"/>
      <c r="AQ539" s="127"/>
      <c r="AR539" s="127"/>
      <c r="AS539" s="127"/>
      <c r="AT539" s="127"/>
      <c r="AU539" s="127"/>
      <c r="AV539" s="127"/>
      <c r="AW539" s="127"/>
      <c r="AX539" s="127"/>
      <c r="AY539" s="127"/>
      <c r="AZ539" s="127"/>
      <c r="BA539" s="127"/>
      <c r="BB539" s="127"/>
      <c r="BC539" s="127"/>
      <c r="BD539" s="127"/>
      <c r="BE539" s="127"/>
      <c r="BF539" s="127"/>
      <c r="BG539" s="127"/>
      <c r="BH539" s="127"/>
      <c r="BI539" s="127"/>
      <c r="BJ539" s="127"/>
      <c r="BK539" s="127"/>
      <c r="BL539" s="127"/>
      <c r="BM539" s="127"/>
      <c r="BN539" s="127"/>
      <c r="BO539" s="127"/>
      <c r="BP539" s="127"/>
      <c r="BQ539" s="127"/>
      <c r="BR539" s="127"/>
      <c r="BS539" s="127"/>
      <c r="BT539" s="127"/>
      <c r="BU539" s="127"/>
    </row>
    <row r="540" spans="15:73" x14ac:dyDescent="0.2"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127"/>
      <c r="AU540" s="127"/>
      <c r="AV540" s="127"/>
      <c r="AW540" s="127"/>
      <c r="AX540" s="127"/>
      <c r="AY540" s="127"/>
      <c r="AZ540" s="127"/>
      <c r="BA540" s="127"/>
      <c r="BB540" s="127"/>
      <c r="BC540" s="127"/>
      <c r="BD540" s="127"/>
      <c r="BE540" s="127"/>
      <c r="BF540" s="127"/>
      <c r="BG540" s="127"/>
      <c r="BH540" s="127"/>
      <c r="BI540" s="127"/>
      <c r="BJ540" s="127"/>
      <c r="BK540" s="127"/>
      <c r="BL540" s="127"/>
      <c r="BM540" s="127"/>
      <c r="BN540" s="127"/>
      <c r="BO540" s="127"/>
      <c r="BP540" s="127"/>
      <c r="BQ540" s="127"/>
      <c r="BR540" s="127"/>
      <c r="BS540" s="127"/>
      <c r="BT540" s="127"/>
      <c r="BU540" s="127"/>
    </row>
  </sheetData>
  <dataConsolidate link="1"/>
  <phoneticPr fontId="12" type="noConversion"/>
  <pageMargins left="0.75" right="0.75" top="1" bottom="1" header="0.5" footer="0.5"/>
  <pageSetup scale="6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K39"/>
  <sheetViews>
    <sheetView showGridLines="0" zoomScale="70" zoomScaleNormal="70" workbookViewId="0"/>
  </sheetViews>
  <sheetFormatPr defaultColWidth="9.140625" defaultRowHeight="12.75" x14ac:dyDescent="0.2"/>
  <cols>
    <col min="1" max="1" width="16" style="18" customWidth="1"/>
    <col min="2" max="2" width="12.28515625" style="18" bestFit="1" customWidth="1"/>
    <col min="3" max="3" width="11.7109375" style="18" bestFit="1" customWidth="1"/>
    <col min="4" max="4" width="8.7109375" style="18" bestFit="1" customWidth="1"/>
    <col min="5" max="5" width="11.5703125" style="18" bestFit="1" customWidth="1"/>
    <col min="6" max="6" width="1.7109375" style="18" customWidth="1"/>
    <col min="7" max="9" width="11.5703125" style="18" bestFit="1" customWidth="1"/>
    <col min="10" max="10" width="10.7109375" style="18" customWidth="1"/>
    <col min="11" max="11" width="13.5703125" style="18" customWidth="1"/>
    <col min="12" max="16384" width="9.140625" style="18"/>
  </cols>
  <sheetData>
    <row r="1" spans="1:11" ht="14.25" x14ac:dyDescent="0.2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4.25" x14ac:dyDescent="0.2">
      <c r="A2" s="19"/>
      <c r="B2" s="164" t="s">
        <v>57</v>
      </c>
      <c r="C2" s="164"/>
      <c r="D2" s="164"/>
      <c r="E2" s="164"/>
      <c r="F2" s="23"/>
      <c r="G2" s="164" t="s">
        <v>58</v>
      </c>
      <c r="H2" s="164"/>
      <c r="I2" s="164"/>
      <c r="J2" s="19"/>
    </row>
    <row r="3" spans="1:11" ht="14.25" x14ac:dyDescent="0.2">
      <c r="A3" s="19" t="s">
        <v>17</v>
      </c>
      <c r="B3" s="21" t="s">
        <v>20</v>
      </c>
      <c r="C3" s="25"/>
      <c r="D3" s="25"/>
      <c r="E3" s="25"/>
      <c r="F3" s="25"/>
      <c r="G3" s="25"/>
      <c r="H3" s="25"/>
      <c r="I3" s="25"/>
      <c r="J3" s="21" t="s">
        <v>59</v>
      </c>
    </row>
    <row r="4" spans="1:11" ht="14.25" x14ac:dyDescent="0.2">
      <c r="A4" s="26" t="s">
        <v>60</v>
      </c>
      <c r="B4" s="28" t="s">
        <v>61</v>
      </c>
      <c r="C4" s="28" t="s">
        <v>26</v>
      </c>
      <c r="D4" s="28" t="s">
        <v>27</v>
      </c>
      <c r="E4" s="30" t="s">
        <v>62</v>
      </c>
      <c r="F4" s="29"/>
      <c r="G4" s="28" t="s">
        <v>63</v>
      </c>
      <c r="H4" s="28" t="s">
        <v>64</v>
      </c>
      <c r="I4" s="28" t="s">
        <v>62</v>
      </c>
      <c r="J4" s="28" t="s">
        <v>65</v>
      </c>
    </row>
    <row r="5" spans="1:11" ht="14.25" x14ac:dyDescent="0.2">
      <c r="A5" s="19"/>
      <c r="B5" s="165" t="s">
        <v>66</v>
      </c>
      <c r="C5" s="165"/>
      <c r="D5" s="165"/>
      <c r="E5" s="165"/>
      <c r="F5" s="165"/>
      <c r="G5" s="165"/>
      <c r="H5" s="165"/>
      <c r="I5" s="165"/>
      <c r="J5" s="165"/>
    </row>
    <row r="6" spans="1:11" ht="14.25" x14ac:dyDescent="0.2">
      <c r="A6" s="19" t="s">
        <v>34</v>
      </c>
      <c r="B6" s="52">
        <v>341.33600000000001</v>
      </c>
      <c r="C6" s="53">
        <f>C23</f>
        <v>50564.716999999997</v>
      </c>
      <c r="D6" s="53">
        <f>D23</f>
        <v>782.87279764099992</v>
      </c>
      <c r="E6" s="37">
        <f>E23</f>
        <v>51688.925797641001</v>
      </c>
      <c r="F6" s="53"/>
      <c r="G6" s="53">
        <f>G23</f>
        <v>37580.432300251006</v>
      </c>
      <c r="H6" s="53">
        <f>H23</f>
        <v>13767.707497390002</v>
      </c>
      <c r="I6" s="53">
        <f>I23</f>
        <v>51348.139797640993</v>
      </c>
      <c r="J6" s="53">
        <f>J22</f>
        <v>340.786</v>
      </c>
    </row>
    <row r="7" spans="1:11" ht="16.5" x14ac:dyDescent="0.2">
      <c r="A7" s="19" t="s">
        <v>35</v>
      </c>
      <c r="B7" s="52">
        <f>J6</f>
        <v>340.786</v>
      </c>
      <c r="C7" s="53">
        <v>51859.214</v>
      </c>
      <c r="D7" s="53">
        <v>500</v>
      </c>
      <c r="E7" s="37">
        <f>SUM(B7:D7)</f>
        <v>52700</v>
      </c>
      <c r="F7" s="53"/>
      <c r="G7" s="53">
        <v>38300</v>
      </c>
      <c r="H7" s="53">
        <v>14000</v>
      </c>
      <c r="I7" s="53">
        <f>E7-J7</f>
        <v>52300</v>
      </c>
      <c r="J7" s="53">
        <v>400</v>
      </c>
    </row>
    <row r="8" spans="1:11" ht="16.5" x14ac:dyDescent="0.2">
      <c r="A8" s="19" t="s">
        <v>36</v>
      </c>
      <c r="B8" s="52">
        <f>J7</f>
        <v>400</v>
      </c>
      <c r="C8" s="53">
        <v>53050</v>
      </c>
      <c r="D8" s="53">
        <v>450</v>
      </c>
      <c r="E8" s="37">
        <f>SUM(B8:D8)</f>
        <v>53900</v>
      </c>
      <c r="F8" s="53"/>
      <c r="G8" s="53">
        <v>39000</v>
      </c>
      <c r="H8" s="53">
        <v>14400</v>
      </c>
      <c r="I8" s="53">
        <f>E8-J8</f>
        <v>53400</v>
      </c>
      <c r="J8" s="53">
        <v>500</v>
      </c>
    </row>
    <row r="9" spans="1:11" ht="14.25" x14ac:dyDescent="0.2">
      <c r="A9" s="19"/>
      <c r="B9" s="54"/>
      <c r="C9" s="54"/>
      <c r="D9" s="54"/>
      <c r="E9" s="54"/>
      <c r="F9" s="54"/>
      <c r="G9" s="53"/>
      <c r="H9" s="54"/>
      <c r="I9" s="54"/>
      <c r="J9" s="54"/>
    </row>
    <row r="10" spans="1:11" ht="15" x14ac:dyDescent="0.25">
      <c r="A10" s="55" t="s">
        <v>34</v>
      </c>
      <c r="B10" s="56"/>
      <c r="C10" s="7"/>
      <c r="D10" s="7"/>
      <c r="E10" s="7"/>
      <c r="F10" s="7"/>
      <c r="G10" s="7"/>
      <c r="H10" s="7"/>
      <c r="I10" s="7"/>
      <c r="J10" s="7"/>
    </row>
    <row r="11" spans="1:11" ht="14.25" x14ac:dyDescent="0.2">
      <c r="A11" s="23" t="s">
        <v>38</v>
      </c>
      <c r="B11" s="56">
        <v>341.33600000000001</v>
      </c>
      <c r="C11" s="7">
        <v>4615.5919999999996</v>
      </c>
      <c r="D11" s="7">
        <f>(63180.5*1.10231)/1000</f>
        <v>69.644496954999994</v>
      </c>
      <c r="E11" s="7">
        <f t="shared" ref="E11:E17" si="0">SUM(B11:D11)</f>
        <v>5026.5724969550001</v>
      </c>
      <c r="F11" s="6"/>
      <c r="G11" s="5">
        <f t="shared" ref="G11:G17" si="1">I11-H11</f>
        <v>3543.9302441150003</v>
      </c>
      <c r="H11" s="7">
        <f>(1005564*1.10231)/1000</f>
        <v>1108.44325284</v>
      </c>
      <c r="I11" s="6">
        <f t="shared" ref="I11:I17" si="2">E11-J11</f>
        <v>4652.3734969550005</v>
      </c>
      <c r="J11" s="6">
        <v>374.19900000000001</v>
      </c>
      <c r="K11" s="133"/>
    </row>
    <row r="12" spans="1:11" ht="14.25" x14ac:dyDescent="0.2">
      <c r="A12" s="23" t="s">
        <v>39</v>
      </c>
      <c r="B12" s="56">
        <f t="shared" ref="B12:B17" si="3">J11</f>
        <v>374.19900000000001</v>
      </c>
      <c r="C12" s="7">
        <v>4516.2939999999999</v>
      </c>
      <c r="D12" s="7">
        <f>(61205.6*1.10231)/1000</f>
        <v>67.467544935999996</v>
      </c>
      <c r="E12" s="7">
        <f t="shared" si="0"/>
        <v>4957.9605449359997</v>
      </c>
      <c r="F12" s="6"/>
      <c r="G12" s="5">
        <f t="shared" si="1"/>
        <v>3223.2103220019999</v>
      </c>
      <c r="H12" s="7">
        <f>(1157871.4*1.10231)/1000</f>
        <v>1276.3332229339997</v>
      </c>
      <c r="I12" s="6">
        <f t="shared" si="2"/>
        <v>4499.5435449359993</v>
      </c>
      <c r="J12" s="6">
        <v>458.41699999999997</v>
      </c>
      <c r="K12" s="133"/>
    </row>
    <row r="13" spans="1:11" ht="14.25" x14ac:dyDescent="0.2">
      <c r="A13" s="23" t="s">
        <v>41</v>
      </c>
      <c r="B13" s="56">
        <f t="shared" si="3"/>
        <v>458.41699999999997</v>
      </c>
      <c r="C13" s="7">
        <v>4540.9309999999996</v>
      </c>
      <c r="D13" s="7">
        <f>(58666.4*1.10231)/1000</f>
        <v>64.668559383999991</v>
      </c>
      <c r="E13" s="7">
        <f t="shared" si="0"/>
        <v>5064.0165593840002</v>
      </c>
      <c r="F13" s="6"/>
      <c r="G13" s="5">
        <f t="shared" si="1"/>
        <v>3257.6761174220001</v>
      </c>
      <c r="H13" s="7">
        <f>(1312650.2*1.10231)/1000</f>
        <v>1446.9474419619999</v>
      </c>
      <c r="I13" s="6">
        <f t="shared" si="2"/>
        <v>4704.6235593840001</v>
      </c>
      <c r="J13" s="6">
        <v>359.39299999999997</v>
      </c>
      <c r="K13" s="133"/>
    </row>
    <row r="14" spans="1:11" ht="14.25" x14ac:dyDescent="0.2">
      <c r="A14" s="23" t="s">
        <v>42</v>
      </c>
      <c r="B14" s="56">
        <f t="shared" si="3"/>
        <v>359.39299999999997</v>
      </c>
      <c r="C14" s="7">
        <v>4665.6540000000005</v>
      </c>
      <c r="D14" s="7">
        <f>(62004.8*1.10231)/1000</f>
        <v>68.348511087999995</v>
      </c>
      <c r="E14" s="7">
        <f t="shared" si="0"/>
        <v>5093.3955110880006</v>
      </c>
      <c r="F14" s="6"/>
      <c r="G14" s="5">
        <f t="shared" si="1"/>
        <v>3080.2835676670006</v>
      </c>
      <c r="H14" s="7">
        <f>(1322049.1*1.10231)/1000</f>
        <v>1457.3079434209999</v>
      </c>
      <c r="I14" s="6">
        <f t="shared" si="2"/>
        <v>4537.5915110880005</v>
      </c>
      <c r="J14" s="6">
        <v>555.80399999999997</v>
      </c>
      <c r="K14" s="133"/>
    </row>
    <row r="15" spans="1:11" ht="14.25" x14ac:dyDescent="0.2">
      <c r="A15" s="23" t="s">
        <v>43</v>
      </c>
      <c r="B15" s="56">
        <f t="shared" si="3"/>
        <v>555.80399999999997</v>
      </c>
      <c r="C15" s="7">
        <v>3918.6709999999998</v>
      </c>
      <c r="D15" s="7">
        <f>(60831.4*1.10231)/1000</f>
        <v>67.055060533999992</v>
      </c>
      <c r="E15" s="7">
        <f t="shared" si="0"/>
        <v>4541.5300605339999</v>
      </c>
      <c r="F15" s="6"/>
      <c r="G15" s="5">
        <f t="shared" si="1"/>
        <v>2640.8198255869997</v>
      </c>
      <c r="H15" s="7">
        <f>(1194443.7*1.10231)/1000</f>
        <v>1316.647234947</v>
      </c>
      <c r="I15" s="6">
        <f t="shared" si="2"/>
        <v>3957.4670605339998</v>
      </c>
      <c r="J15" s="6">
        <v>584.06299999999999</v>
      </c>
      <c r="K15" s="133"/>
    </row>
    <row r="16" spans="1:11" ht="14.25" x14ac:dyDescent="0.2">
      <c r="A16" s="23" t="s">
        <v>45</v>
      </c>
      <c r="B16" s="56">
        <f t="shared" si="3"/>
        <v>584.06299999999999</v>
      </c>
      <c r="C16" s="7">
        <v>4476.5870000000004</v>
      </c>
      <c r="D16" s="7">
        <f>(66448.6*1.10231)/1000</f>
        <v>73.246956265999998</v>
      </c>
      <c r="E16" s="7">
        <f t="shared" si="0"/>
        <v>5133.8969562660004</v>
      </c>
      <c r="F16" s="6"/>
      <c r="G16" s="5">
        <f t="shared" si="1"/>
        <v>3387.3791584980008</v>
      </c>
      <c r="H16" s="7">
        <f>(1178232.8*1.10231)/1000</f>
        <v>1298.777797768</v>
      </c>
      <c r="I16" s="6">
        <f t="shared" si="2"/>
        <v>4686.1569562660006</v>
      </c>
      <c r="J16" s="6">
        <v>447.74</v>
      </c>
      <c r="K16" s="133"/>
    </row>
    <row r="17" spans="1:11" ht="14.25" x14ac:dyDescent="0.2">
      <c r="A17" s="23" t="s">
        <v>46</v>
      </c>
      <c r="B17" s="56">
        <f t="shared" si="3"/>
        <v>447.74</v>
      </c>
      <c r="C17" s="7">
        <v>4044.7089999999998</v>
      </c>
      <c r="D17" s="7">
        <f>(61739.5*1.10231)/1000</f>
        <v>68.056068244999992</v>
      </c>
      <c r="E17" s="7">
        <f t="shared" si="0"/>
        <v>4560.5050682449992</v>
      </c>
      <c r="F17" s="6"/>
      <c r="G17" s="5">
        <f t="shared" si="1"/>
        <v>3050.7248173269991</v>
      </c>
      <c r="H17" s="7">
        <f>(959597.8*1.10231)/1000</f>
        <v>1057.774250918</v>
      </c>
      <c r="I17" s="6">
        <f t="shared" si="2"/>
        <v>4108.4990682449989</v>
      </c>
      <c r="J17" s="6">
        <v>452.00599999999997</v>
      </c>
      <c r="K17" s="133"/>
    </row>
    <row r="18" spans="1:11" ht="14.25" x14ac:dyDescent="0.2">
      <c r="A18" s="23" t="s">
        <v>47</v>
      </c>
      <c r="B18" s="56">
        <f t="shared" ref="B18" si="4">J17</f>
        <v>452.00599999999997</v>
      </c>
      <c r="C18" s="7">
        <v>4122.884</v>
      </c>
      <c r="D18" s="7">
        <f>(59425.5*1.10231)/1000</f>
        <v>65.505322905</v>
      </c>
      <c r="E18" s="7">
        <f>SUM(B18:D18)</f>
        <v>4640.3953229050003</v>
      </c>
      <c r="F18" s="6"/>
      <c r="G18" s="5">
        <f t="shared" ref="G18:G22" si="5">I18-H18</f>
        <v>2948.6927628190006</v>
      </c>
      <c r="H18" s="7">
        <f>(952770.6*1.10231)/1000</f>
        <v>1050.2485600859998</v>
      </c>
      <c r="I18" s="6">
        <f>E18-J18</f>
        <v>3998.9413229050006</v>
      </c>
      <c r="J18" s="6">
        <v>641.45399999999995</v>
      </c>
      <c r="K18" s="133"/>
    </row>
    <row r="19" spans="1:11" ht="14.25" x14ac:dyDescent="0.2">
      <c r="A19" s="23" t="s">
        <v>49</v>
      </c>
      <c r="B19" s="56">
        <f>J18</f>
        <v>641.45399999999995</v>
      </c>
      <c r="C19" s="7">
        <v>3833.951</v>
      </c>
      <c r="D19" s="7">
        <f>(57647.2*1.10231)/1000</f>
        <v>63.545085031999989</v>
      </c>
      <c r="E19" s="7">
        <f>SUM(B19:D19)</f>
        <v>4538.9500850320001</v>
      </c>
      <c r="F19" s="6"/>
      <c r="G19" s="5">
        <f t="shared" si="5"/>
        <v>3182.6439690309999</v>
      </c>
      <c r="H19" s="7">
        <f>(832167.1*1.10231)/1000</f>
        <v>917.30611600099996</v>
      </c>
      <c r="I19" s="6">
        <f>E19-J19</f>
        <v>4099.9500850320001</v>
      </c>
      <c r="J19" s="6">
        <v>439</v>
      </c>
      <c r="K19" s="133"/>
    </row>
    <row r="20" spans="1:11" ht="14.25" x14ac:dyDescent="0.2">
      <c r="A20" s="23" t="s">
        <v>50</v>
      </c>
      <c r="B20" s="56">
        <f>J19</f>
        <v>439</v>
      </c>
      <c r="C20" s="7">
        <v>3966.4989999999998</v>
      </c>
      <c r="D20" s="7">
        <f>(80443.6*1.10231)/1000</f>
        <v>88.673784716</v>
      </c>
      <c r="E20" s="7">
        <f>SUM(B20:D20)</f>
        <v>4494.172784716</v>
      </c>
      <c r="F20" s="6"/>
      <c r="G20" s="5">
        <f t="shared" si="5"/>
        <v>2936.1778779750002</v>
      </c>
      <c r="H20" s="7">
        <f>(980821.1*1.10231)/1000</f>
        <v>1081.1689067409998</v>
      </c>
      <c r="I20" s="6">
        <f>E20-J20</f>
        <v>4017.346784716</v>
      </c>
      <c r="J20" s="6">
        <v>476.82600000000002</v>
      </c>
      <c r="K20" s="133"/>
    </row>
    <row r="21" spans="1:11" ht="14.25" x14ac:dyDescent="0.2">
      <c r="A21" s="23" t="s">
        <v>51</v>
      </c>
      <c r="B21" s="56">
        <f>J20</f>
        <v>476.82600000000002</v>
      </c>
      <c r="C21" s="7">
        <v>3995.2939999999999</v>
      </c>
      <c r="D21" s="7">
        <f>(42840.9*1.10231)/1000</f>
        <v>47.223952478999998</v>
      </c>
      <c r="E21" s="7">
        <f>SUM(B21:D21)</f>
        <v>4519.3439524790001</v>
      </c>
      <c r="F21" s="6"/>
      <c r="G21" s="5">
        <f t="shared" si="5"/>
        <v>3177.8774938420006</v>
      </c>
      <c r="H21" s="7">
        <f>(869042.7*1.10231)/1000</f>
        <v>957.95445863699979</v>
      </c>
      <c r="I21" s="6">
        <f>E21-J21</f>
        <v>4135.8319524790004</v>
      </c>
      <c r="J21" s="6">
        <v>383.512</v>
      </c>
      <c r="K21" s="133"/>
    </row>
    <row r="22" spans="1:11" ht="14.25" x14ac:dyDescent="0.2">
      <c r="A22" s="23" t="s">
        <v>37</v>
      </c>
      <c r="B22" s="56">
        <f>J21</f>
        <v>383.512</v>
      </c>
      <c r="C22" s="7">
        <v>3867.6509999999998</v>
      </c>
      <c r="D22" s="7">
        <f>(35777.1*1.10231)/1000</f>
        <v>39.437455100999991</v>
      </c>
      <c r="E22" s="7">
        <f>SUM(B22:D22)</f>
        <v>4290.6004551009992</v>
      </c>
      <c r="F22" s="6"/>
      <c r="G22" s="5">
        <f t="shared" si="5"/>
        <v>3151.0161439659992</v>
      </c>
      <c r="H22" s="7">
        <f>(724658.5*1.10231)/1000</f>
        <v>798.79831113499995</v>
      </c>
      <c r="I22" s="6">
        <f>E22-J22</f>
        <v>3949.8144551009991</v>
      </c>
      <c r="J22" s="6">
        <v>340.786</v>
      </c>
      <c r="K22" s="133"/>
    </row>
    <row r="23" spans="1:11" ht="14.25" x14ac:dyDescent="0.2">
      <c r="A23" s="23" t="s">
        <v>28</v>
      </c>
      <c r="B23" s="56"/>
      <c r="C23" s="7">
        <f>SUM(C11:C22)</f>
        <v>50564.716999999997</v>
      </c>
      <c r="D23" s="7">
        <f>SUM(D11:D22)</f>
        <v>782.87279764099992</v>
      </c>
      <c r="E23" s="7">
        <f>B11+C23+D23</f>
        <v>51688.925797641001</v>
      </c>
      <c r="F23" s="7"/>
      <c r="G23" s="7">
        <f>SUM(G11:G22)</f>
        <v>37580.432300251006</v>
      </c>
      <c r="H23" s="7">
        <f>SUM(H11:H22)</f>
        <v>13767.707497390002</v>
      </c>
      <c r="I23" s="7">
        <f>SUM(I11:I22)</f>
        <v>51348.139797640993</v>
      </c>
      <c r="J23" s="7"/>
    </row>
    <row r="24" spans="1:11" ht="14.25" x14ac:dyDescent="0.2">
      <c r="A24" s="23"/>
      <c r="B24" s="56"/>
      <c r="C24" s="7"/>
      <c r="D24" s="7"/>
      <c r="E24" s="7"/>
      <c r="F24" s="7"/>
      <c r="G24" s="7"/>
      <c r="H24" s="7"/>
      <c r="I24" s="7"/>
      <c r="J24" s="7"/>
    </row>
    <row r="25" spans="1:11" ht="15" x14ac:dyDescent="0.25">
      <c r="A25" s="55" t="s">
        <v>53</v>
      </c>
      <c r="B25" s="56"/>
      <c r="C25" s="7"/>
      <c r="D25" s="7"/>
      <c r="E25" s="7"/>
      <c r="F25" s="7"/>
      <c r="G25" s="7"/>
      <c r="H25" s="7"/>
      <c r="I25" s="7"/>
      <c r="J25" s="7"/>
    </row>
    <row r="26" spans="1:11" ht="14.25" x14ac:dyDescent="0.2">
      <c r="A26" s="23" t="s">
        <v>38</v>
      </c>
      <c r="B26" s="56">
        <f>J22</f>
        <v>340.786</v>
      </c>
      <c r="C26" s="7">
        <v>4591.6390000000001</v>
      </c>
      <c r="D26" s="7">
        <f>(56516.5*1.10231)/1000</f>
        <v>62.298703114999995</v>
      </c>
      <c r="E26" s="7">
        <f t="shared" ref="E26:E32" si="6">SUM(B26:D26)</f>
        <v>4994.7237031149998</v>
      </c>
      <c r="F26" s="7"/>
      <c r="G26" s="7">
        <f t="shared" ref="G26:G32" si="7">I26-H26</f>
        <v>3492.8933177700001</v>
      </c>
      <c r="H26" s="7">
        <f>(989149.5*1.10231)/1000</f>
        <v>1090.3493853449997</v>
      </c>
      <c r="I26" s="6">
        <f t="shared" ref="I26:I32" si="8">E26-J26</f>
        <v>4583.242703115</v>
      </c>
      <c r="J26" s="7">
        <v>411.48099999999999</v>
      </c>
      <c r="K26" s="133"/>
    </row>
    <row r="27" spans="1:11" ht="14.25" x14ac:dyDescent="0.2">
      <c r="A27" s="23" t="s">
        <v>39</v>
      </c>
      <c r="B27" s="56">
        <f t="shared" ref="B27:B32" si="9">J26</f>
        <v>411.48099999999999</v>
      </c>
      <c r="C27" s="7">
        <v>4456.7700000000004</v>
      </c>
      <c r="D27" s="7">
        <f>(33708.1*1.10231)/1000</f>
        <v>37.156775710999995</v>
      </c>
      <c r="E27" s="7">
        <f t="shared" si="6"/>
        <v>4905.4077757109999</v>
      </c>
      <c r="F27" s="7"/>
      <c r="G27" s="7">
        <f t="shared" si="7"/>
        <v>3277.398553041</v>
      </c>
      <c r="H27" s="7">
        <f>(1136157*1.10231)/1000</f>
        <v>1252.3972226699998</v>
      </c>
      <c r="I27" s="6">
        <f t="shared" si="8"/>
        <v>4529.7957757109998</v>
      </c>
      <c r="J27" s="7">
        <v>375.61200000000002</v>
      </c>
      <c r="K27" s="133"/>
    </row>
    <row r="28" spans="1:11" ht="14.25" x14ac:dyDescent="0.2">
      <c r="A28" s="23" t="s">
        <v>41</v>
      </c>
      <c r="B28" s="56">
        <f t="shared" si="9"/>
        <v>375.61200000000002</v>
      </c>
      <c r="C28" s="7">
        <v>4629.5519999999997</v>
      </c>
      <c r="D28" s="7">
        <f>(33713.7*1.10231)/1000</f>
        <v>37.162948646999993</v>
      </c>
      <c r="E28" s="7">
        <f t="shared" si="6"/>
        <v>5042.3269486469999</v>
      </c>
      <c r="F28" s="7"/>
      <c r="G28" s="7">
        <f t="shared" si="7"/>
        <v>3235.8188905589996</v>
      </c>
      <c r="H28" s="7">
        <f>(1265704.8*1.10231)/1000</f>
        <v>1395.1990580879999</v>
      </c>
      <c r="I28" s="6">
        <f t="shared" si="8"/>
        <v>4631.0179486469997</v>
      </c>
      <c r="J28" s="7">
        <v>411.30900000000003</v>
      </c>
      <c r="K28" s="133"/>
    </row>
    <row r="29" spans="1:11" ht="14.25" x14ac:dyDescent="0.2">
      <c r="A29" s="23" t="s">
        <v>42</v>
      </c>
      <c r="B29" s="56">
        <f t="shared" si="9"/>
        <v>411.30900000000003</v>
      </c>
      <c r="C29" s="7">
        <v>4533.1530000000002</v>
      </c>
      <c r="D29" s="7">
        <f>(40167.4*1.10231)/1000</f>
        <v>44.276926693999997</v>
      </c>
      <c r="E29" s="7">
        <f t="shared" si="6"/>
        <v>4988.7389266940008</v>
      </c>
      <c r="F29" s="7"/>
      <c r="G29" s="7">
        <f t="shared" si="7"/>
        <v>3259.9617703520012</v>
      </c>
      <c r="H29" s="7">
        <f>(1177548.2*1.10231)/1000</f>
        <v>1298.0231563419998</v>
      </c>
      <c r="I29" s="6">
        <f t="shared" si="8"/>
        <v>4557.9849266940009</v>
      </c>
      <c r="J29" s="7">
        <v>430.75400000000002</v>
      </c>
      <c r="K29" s="133"/>
    </row>
    <row r="30" spans="1:11" ht="14.25" x14ac:dyDescent="0.2">
      <c r="A30" s="23" t="s">
        <v>43</v>
      </c>
      <c r="B30" s="56">
        <f t="shared" si="9"/>
        <v>430.75400000000002</v>
      </c>
      <c r="C30" s="7">
        <v>4089.9549999999999</v>
      </c>
      <c r="D30" s="7">
        <f>(46777.6*1.10231)/1000</f>
        <v>51.563416255999996</v>
      </c>
      <c r="E30" s="7">
        <f t="shared" si="6"/>
        <v>4572.2724162559998</v>
      </c>
      <c r="F30" s="7"/>
      <c r="G30" s="7">
        <f t="shared" si="7"/>
        <v>3104.2082034579998</v>
      </c>
      <c r="H30" s="7">
        <f>(981745.8*1.10231)/1000</f>
        <v>1082.1882127979998</v>
      </c>
      <c r="I30" s="6">
        <f t="shared" si="8"/>
        <v>4186.3964162559996</v>
      </c>
      <c r="J30" s="7">
        <v>385.87599999999998</v>
      </c>
      <c r="K30" s="133"/>
    </row>
    <row r="31" spans="1:11" ht="14.25" x14ac:dyDescent="0.2">
      <c r="A31" s="23" t="s">
        <v>45</v>
      </c>
      <c r="B31" s="56">
        <f t="shared" si="9"/>
        <v>385.87599999999998</v>
      </c>
      <c r="C31" s="7">
        <v>4549.6310000000003</v>
      </c>
      <c r="D31" s="7">
        <f>(36598.4*1.10231)/1000</f>
        <v>40.342782304000004</v>
      </c>
      <c r="E31" s="7">
        <f t="shared" si="6"/>
        <v>4975.8497823040007</v>
      </c>
      <c r="F31" s="7"/>
      <c r="G31" s="7">
        <f t="shared" si="7"/>
        <v>3397.5364563470011</v>
      </c>
      <c r="H31" s="7">
        <f>(1086214.7*1.10231)/1000</f>
        <v>1197.3453259569999</v>
      </c>
      <c r="I31" s="6">
        <f t="shared" si="8"/>
        <v>4594.8817823040008</v>
      </c>
      <c r="J31" s="7">
        <v>380.96800000000002</v>
      </c>
      <c r="K31" s="133"/>
    </row>
    <row r="32" spans="1:11" ht="14.25" x14ac:dyDescent="0.2">
      <c r="A32" s="17" t="s">
        <v>46</v>
      </c>
      <c r="B32" s="57">
        <f t="shared" si="9"/>
        <v>380.96800000000002</v>
      </c>
      <c r="C32" s="48">
        <v>4254.5450000000001</v>
      </c>
      <c r="D32" s="48">
        <f>(55089.9*1.10231)/1000</f>
        <v>60.726147668999999</v>
      </c>
      <c r="E32" s="48">
        <f t="shared" si="6"/>
        <v>4696.239147669</v>
      </c>
      <c r="F32" s="48"/>
      <c r="G32" s="48">
        <f t="shared" si="7"/>
        <v>3065.5731103500002</v>
      </c>
      <c r="H32" s="48">
        <f>(1075604.9*1.10231)/1000</f>
        <v>1185.6500373189999</v>
      </c>
      <c r="I32" s="64">
        <f t="shared" si="8"/>
        <v>4251.2231476690004</v>
      </c>
      <c r="J32" s="48">
        <v>445.01600000000002</v>
      </c>
      <c r="K32" s="133"/>
    </row>
    <row r="33" spans="1:10" ht="16.5" x14ac:dyDescent="0.2">
      <c r="A33" s="58" t="s">
        <v>67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14.25" x14ac:dyDescent="0.2">
      <c r="A34" s="19" t="s">
        <v>68</v>
      </c>
      <c r="B34" s="19"/>
      <c r="C34" s="19"/>
      <c r="D34" s="19"/>
      <c r="E34" s="19"/>
      <c r="F34" s="19"/>
      <c r="G34" s="19"/>
      <c r="H34" s="19"/>
      <c r="I34" s="19"/>
      <c r="J34" s="19"/>
    </row>
    <row r="35" spans="1:10" ht="14.25" x14ac:dyDescent="0.2">
      <c r="A35" s="25" t="s">
        <v>56</v>
      </c>
      <c r="B35" s="50">
        <f ca="1">NOW()</f>
        <v>44725.649194097219</v>
      </c>
      <c r="C35" s="44"/>
      <c r="D35" s="38"/>
      <c r="E35" s="38"/>
      <c r="F35" s="38"/>
      <c r="G35" s="38"/>
      <c r="H35" s="38"/>
      <c r="I35" s="38"/>
      <c r="J35" s="38"/>
    </row>
    <row r="36" spans="1:10" x14ac:dyDescent="0.2">
      <c r="A36" s="59"/>
      <c r="B36" s="60"/>
      <c r="C36" s="61"/>
      <c r="D36" s="60"/>
      <c r="E36" s="120"/>
      <c r="F36" s="60"/>
      <c r="G36" s="60"/>
      <c r="H36" s="62"/>
      <c r="I36" s="120"/>
      <c r="J36" s="60"/>
    </row>
    <row r="37" spans="1:10" x14ac:dyDescent="0.2">
      <c r="A37" s="59"/>
      <c r="B37" s="60"/>
      <c r="C37" s="60"/>
      <c r="D37" s="60"/>
      <c r="E37" s="60"/>
      <c r="F37" s="60"/>
      <c r="G37" s="60"/>
      <c r="H37" s="60"/>
      <c r="I37" s="60"/>
      <c r="J37" s="60"/>
    </row>
    <row r="38" spans="1:10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</row>
  </sheetData>
  <mergeCells count="3">
    <mergeCell ref="G2:I2"/>
    <mergeCell ref="B5:J5"/>
    <mergeCell ref="B2:E2"/>
  </mergeCells>
  <phoneticPr fontId="12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6"/>
  <sheetViews>
    <sheetView showGridLines="0" zoomScale="70" zoomScaleNormal="70" workbookViewId="0"/>
  </sheetViews>
  <sheetFormatPr defaultColWidth="9.140625" defaultRowHeight="12.75" x14ac:dyDescent="0.2"/>
  <cols>
    <col min="1" max="1" width="15.42578125" style="18" customWidth="1"/>
    <col min="2" max="2" width="12.28515625" style="18" bestFit="1" customWidth="1"/>
    <col min="3" max="3" width="12.140625" style="18" bestFit="1" customWidth="1"/>
    <col min="4" max="4" width="11" style="18" bestFit="1" customWidth="1"/>
    <col min="5" max="5" width="11.28515625" style="18" bestFit="1" customWidth="1"/>
    <col min="6" max="6" width="3.7109375" style="18" customWidth="1"/>
    <col min="7" max="7" width="11.5703125" style="18" bestFit="1" customWidth="1"/>
    <col min="8" max="8" width="10.7109375" style="18" customWidth="1"/>
    <col min="9" max="9" width="12.7109375" style="18" customWidth="1"/>
    <col min="10" max="10" width="9.7109375" style="18" bestFit="1" customWidth="1"/>
    <col min="11" max="11" width="11.5703125" style="18" bestFit="1" customWidth="1"/>
    <col min="12" max="12" width="12.5703125" style="18" bestFit="1" customWidth="1"/>
    <col min="13" max="16384" width="9.140625" style="18"/>
  </cols>
  <sheetData>
    <row r="1" spans="1:13" ht="14.25" x14ac:dyDescent="0.2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4.25" x14ac:dyDescent="0.2">
      <c r="A2" s="19"/>
      <c r="B2" s="164" t="s">
        <v>57</v>
      </c>
      <c r="C2" s="164"/>
      <c r="D2" s="164"/>
      <c r="E2" s="164"/>
      <c r="F2" s="23"/>
      <c r="G2" s="164" t="s">
        <v>58</v>
      </c>
      <c r="H2" s="164"/>
      <c r="I2" s="164"/>
      <c r="J2" s="140"/>
      <c r="K2" s="140"/>
      <c r="L2" s="19"/>
    </row>
    <row r="3" spans="1:13" ht="14.25" x14ac:dyDescent="0.2">
      <c r="A3" s="19" t="s">
        <v>17</v>
      </c>
      <c r="B3" s="21" t="s">
        <v>69</v>
      </c>
      <c r="C3" s="40" t="s">
        <v>26</v>
      </c>
      <c r="D3" s="40" t="s">
        <v>70</v>
      </c>
      <c r="E3" s="40" t="s">
        <v>62</v>
      </c>
      <c r="F3" s="40"/>
      <c r="G3" s="140" t="s">
        <v>63</v>
      </c>
      <c r="H3" s="140"/>
      <c r="I3" s="140"/>
      <c r="J3" s="40" t="s">
        <v>71</v>
      </c>
      <c r="K3" s="40" t="s">
        <v>62</v>
      </c>
      <c r="L3" s="40" t="s">
        <v>59</v>
      </c>
    </row>
    <row r="4" spans="1:13" ht="16.5" x14ac:dyDescent="0.2">
      <c r="A4" s="26" t="s">
        <v>60</v>
      </c>
      <c r="B4" s="28" t="s">
        <v>61</v>
      </c>
      <c r="C4" s="29"/>
      <c r="D4" s="29"/>
      <c r="E4" s="29"/>
      <c r="F4" s="29"/>
      <c r="G4" s="28" t="s">
        <v>28</v>
      </c>
      <c r="H4" s="28" t="s">
        <v>72</v>
      </c>
      <c r="I4" s="28" t="s">
        <v>73</v>
      </c>
      <c r="J4" s="29"/>
      <c r="K4" s="29"/>
      <c r="L4" s="40" t="s">
        <v>65</v>
      </c>
    </row>
    <row r="5" spans="1:13" ht="14.25" x14ac:dyDescent="0.2">
      <c r="A5" s="19"/>
      <c r="B5" s="166" t="s">
        <v>74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3" ht="14.25" x14ac:dyDescent="0.2">
      <c r="A6" s="19" t="s">
        <v>34</v>
      </c>
      <c r="B6" s="54">
        <v>1852.675</v>
      </c>
      <c r="C6" s="54">
        <f>C23</f>
        <v>25022.667000000001</v>
      </c>
      <c r="D6" s="54">
        <f>D23</f>
        <v>301.9644297936</v>
      </c>
      <c r="E6" s="54">
        <f>E23</f>
        <v>27177.3064297936</v>
      </c>
      <c r="F6" s="54"/>
      <c r="G6" s="54">
        <f>G23</f>
        <v>23322.575127803797</v>
      </c>
      <c r="H6" s="54">
        <f t="shared" ref="H6:J6" si="0">H23</f>
        <v>8849.5114432999999</v>
      </c>
      <c r="I6" s="37">
        <f t="shared" si="0"/>
        <v>14473.063684503799</v>
      </c>
      <c r="J6" s="54">
        <f t="shared" si="0"/>
        <v>1723.4983019897998</v>
      </c>
      <c r="K6" s="54">
        <f>E6-L6</f>
        <v>25046.0734297936</v>
      </c>
      <c r="L6" s="54">
        <f>L22</f>
        <v>2131.2330000000002</v>
      </c>
      <c r="M6" s="115"/>
    </row>
    <row r="7" spans="1:13" ht="16.5" x14ac:dyDescent="0.2">
      <c r="A7" s="19" t="s">
        <v>35</v>
      </c>
      <c r="B7" s="54">
        <f>L6</f>
        <v>2131.2330000000002</v>
      </c>
      <c r="C7" s="54">
        <v>26205</v>
      </c>
      <c r="D7" s="54">
        <v>400</v>
      </c>
      <c r="E7" s="54">
        <f>SUM(B7:D7)</f>
        <v>28736.233</v>
      </c>
      <c r="F7" s="54"/>
      <c r="G7" s="54">
        <f>K7-J7</f>
        <v>24985</v>
      </c>
      <c r="H7" s="54">
        <v>10700</v>
      </c>
      <c r="I7" s="37">
        <f>G7-H7</f>
        <v>14285</v>
      </c>
      <c r="J7" s="54">
        <v>1800</v>
      </c>
      <c r="K7" s="54">
        <f>E7-L7</f>
        <v>26785</v>
      </c>
      <c r="L7" s="54">
        <v>1951.2330000000002</v>
      </c>
    </row>
    <row r="8" spans="1:13" ht="16.5" x14ac:dyDescent="0.2">
      <c r="A8" s="19" t="s">
        <v>36</v>
      </c>
      <c r="B8" s="54">
        <f>L7</f>
        <v>1951.2330000000002</v>
      </c>
      <c r="C8" s="54">
        <v>26430</v>
      </c>
      <c r="D8" s="54">
        <v>500</v>
      </c>
      <c r="E8" s="54">
        <f>SUM(B8:D8)</f>
        <v>28881.233</v>
      </c>
      <c r="F8" s="54"/>
      <c r="G8" s="54">
        <f>K8-J8</f>
        <v>25800</v>
      </c>
      <c r="H8" s="54">
        <v>12000</v>
      </c>
      <c r="I8" s="37">
        <f>G8-H8</f>
        <v>13800</v>
      </c>
      <c r="J8" s="54">
        <v>1400</v>
      </c>
      <c r="K8" s="54">
        <f>E8-L8</f>
        <v>27200</v>
      </c>
      <c r="L8" s="54">
        <v>1681.2330000000002</v>
      </c>
    </row>
    <row r="9" spans="1:13" ht="14.25" x14ac:dyDescent="0.2">
      <c r="A9" s="19"/>
      <c r="B9" s="54"/>
      <c r="C9" s="54"/>
      <c r="D9" s="54"/>
      <c r="E9" s="54"/>
      <c r="F9" s="54"/>
      <c r="G9" s="54"/>
      <c r="H9" s="54"/>
      <c r="I9" s="116"/>
      <c r="J9" s="54"/>
      <c r="K9" s="54"/>
      <c r="L9" s="54"/>
    </row>
    <row r="10" spans="1:13" ht="15" x14ac:dyDescent="0.25">
      <c r="A10" s="41" t="s">
        <v>34</v>
      </c>
      <c r="B10" s="63"/>
      <c r="C10" s="7"/>
      <c r="D10" s="7"/>
      <c r="E10" s="7"/>
      <c r="F10" s="6"/>
      <c r="G10" s="7"/>
      <c r="H10" s="7"/>
      <c r="I10" s="7"/>
      <c r="J10" s="7"/>
      <c r="K10" s="7"/>
      <c r="L10" s="6"/>
    </row>
    <row r="11" spans="1:13" ht="14.25" x14ac:dyDescent="0.2">
      <c r="A11" s="23" t="s">
        <v>38</v>
      </c>
      <c r="B11" s="6">
        <v>1852.675</v>
      </c>
      <c r="C11" s="7">
        <v>2282.471</v>
      </c>
      <c r="D11" s="7">
        <f>(9279.7*2204.622)/1000000</f>
        <v>20.4582307734</v>
      </c>
      <c r="E11" s="7">
        <f t="shared" ref="E11:E17" si="1">SUM(B11:D11)</f>
        <v>4155.6042307733996</v>
      </c>
      <c r="F11" s="6"/>
      <c r="G11" s="6">
        <f t="shared" ref="G11:G17" si="2">K11-J11</f>
        <v>2002.3090817163998</v>
      </c>
      <c r="H11" s="7">
        <v>793.16669999999999</v>
      </c>
      <c r="I11" s="7">
        <f t="shared" ref="I11:I16" si="3">G11-H11</f>
        <v>1209.1423817163998</v>
      </c>
      <c r="J11" s="7">
        <f>(84043.5*2204.622)/1000000</f>
        <v>185.28414905699998</v>
      </c>
      <c r="K11" s="7">
        <f t="shared" ref="K11:K17" si="4">E11-L11</f>
        <v>2187.5932307733997</v>
      </c>
      <c r="L11" s="6">
        <v>1968.011</v>
      </c>
    </row>
    <row r="12" spans="1:13" ht="14.25" x14ac:dyDescent="0.2">
      <c r="A12" s="23" t="s">
        <v>39</v>
      </c>
      <c r="B12" s="6">
        <f t="shared" ref="B12:B17" si="5">L11</f>
        <v>1968.011</v>
      </c>
      <c r="C12" s="7">
        <v>2206.7919999999999</v>
      </c>
      <c r="D12" s="7">
        <f>(9584.1*2204.622)/1000000</f>
        <v>21.129317710200002</v>
      </c>
      <c r="E12" s="7">
        <f t="shared" si="1"/>
        <v>4195.9323177101996</v>
      </c>
      <c r="F12" s="6"/>
      <c r="G12" s="6">
        <f t="shared" si="2"/>
        <v>1901.6370607625995</v>
      </c>
      <c r="H12" s="7">
        <v>753.16669999999999</v>
      </c>
      <c r="I12" s="7">
        <f t="shared" si="3"/>
        <v>1148.4703607625995</v>
      </c>
      <c r="J12" s="7">
        <f>(80375.8*2204.622)/1000000</f>
        <v>177.19825694760002</v>
      </c>
      <c r="K12" s="7">
        <f t="shared" si="4"/>
        <v>2078.8353177101994</v>
      </c>
      <c r="L12" s="6">
        <v>2117.0970000000002</v>
      </c>
    </row>
    <row r="13" spans="1:13" ht="14.25" x14ac:dyDescent="0.2">
      <c r="A13" s="23" t="s">
        <v>41</v>
      </c>
      <c r="B13" s="6">
        <f t="shared" si="5"/>
        <v>2117.0970000000002</v>
      </c>
      <c r="C13" s="7">
        <v>2233.4859999999999</v>
      </c>
      <c r="D13" s="7">
        <f>(11454.4*2204.622)/1000000</f>
        <v>25.252622236799997</v>
      </c>
      <c r="E13" s="7">
        <f t="shared" si="1"/>
        <v>4375.8356222368002</v>
      </c>
      <c r="F13" s="6"/>
      <c r="G13" s="6">
        <f t="shared" si="2"/>
        <v>2030.2426082694001</v>
      </c>
      <c r="H13" s="7">
        <v>814.16669999999999</v>
      </c>
      <c r="I13" s="7">
        <f t="shared" si="3"/>
        <v>1216.0759082694001</v>
      </c>
      <c r="J13" s="7">
        <f>(106506.7*2204.622)/1000000</f>
        <v>234.8070139674</v>
      </c>
      <c r="K13" s="7">
        <f t="shared" si="4"/>
        <v>2265.0496222368001</v>
      </c>
      <c r="L13" s="6">
        <v>2110.7860000000001</v>
      </c>
    </row>
    <row r="14" spans="1:13" ht="14.25" x14ac:dyDescent="0.2">
      <c r="A14" s="23" t="s">
        <v>42</v>
      </c>
      <c r="B14" s="6">
        <f t="shared" si="5"/>
        <v>2110.7860000000001</v>
      </c>
      <c r="C14" s="7">
        <v>2308.752</v>
      </c>
      <c r="D14" s="7">
        <f>(8609.5*2204.622)/1000000</f>
        <v>18.980693108999997</v>
      </c>
      <c r="E14" s="7">
        <f t="shared" si="1"/>
        <v>4438.5186931090002</v>
      </c>
      <c r="F14" s="6"/>
      <c r="G14" s="6">
        <f t="shared" si="2"/>
        <v>1804.6869535148003</v>
      </c>
      <c r="H14" s="7">
        <v>682.87599999999998</v>
      </c>
      <c r="I14" s="7">
        <f t="shared" si="3"/>
        <v>1121.8109535148003</v>
      </c>
      <c r="J14" s="7">
        <f>(148706.1*2204.622)/1000000</f>
        <v>327.84073959419999</v>
      </c>
      <c r="K14" s="7">
        <f t="shared" si="4"/>
        <v>2132.5276931090002</v>
      </c>
      <c r="L14" s="6">
        <v>2305.991</v>
      </c>
    </row>
    <row r="15" spans="1:13" ht="14.25" x14ac:dyDescent="0.2">
      <c r="A15" s="23" t="s">
        <v>43</v>
      </c>
      <c r="B15" s="6">
        <f t="shared" si="5"/>
        <v>2305.991</v>
      </c>
      <c r="C15" s="7">
        <v>1924.749</v>
      </c>
      <c r="D15" s="7">
        <f>(9711.7*2204.622)/1000000</f>
        <v>21.410627477400002</v>
      </c>
      <c r="E15" s="7">
        <f t="shared" si="1"/>
        <v>4252.1506274774001</v>
      </c>
      <c r="F15" s="6"/>
      <c r="G15" s="6">
        <f t="shared" si="2"/>
        <v>1690.1760304182003</v>
      </c>
      <c r="H15" s="7">
        <v>552.22799999999995</v>
      </c>
      <c r="I15" s="7">
        <f t="shared" si="3"/>
        <v>1137.9480304182002</v>
      </c>
      <c r="J15" s="7">
        <f>(116113.6*2204.622)/1000000</f>
        <v>255.98659705919999</v>
      </c>
      <c r="K15" s="7">
        <f t="shared" si="4"/>
        <v>1946.1626274774003</v>
      </c>
      <c r="L15" s="6">
        <v>2305.9879999999998</v>
      </c>
    </row>
    <row r="16" spans="1:13" ht="14.25" x14ac:dyDescent="0.2">
      <c r="A16" s="23" t="s">
        <v>45</v>
      </c>
      <c r="B16" s="6">
        <f t="shared" si="5"/>
        <v>2305.9879999999998</v>
      </c>
      <c r="C16" s="7">
        <v>2222.123</v>
      </c>
      <c r="D16" s="7">
        <f>(9636.1*2204.622)/1000000</f>
        <v>21.2439580542</v>
      </c>
      <c r="E16" s="7">
        <f t="shared" si="1"/>
        <v>4549.3549580542003</v>
      </c>
      <c r="F16" s="6"/>
      <c r="G16" s="6">
        <f t="shared" si="2"/>
        <v>2148.2428110598007</v>
      </c>
      <c r="H16" s="7">
        <v>740.35334330000001</v>
      </c>
      <c r="I16" s="7">
        <f t="shared" si="3"/>
        <v>1407.8894677598007</v>
      </c>
      <c r="J16" s="7">
        <f>(70685.2*2204.622)/1000000</f>
        <v>155.83414699439999</v>
      </c>
      <c r="K16" s="7">
        <f t="shared" si="4"/>
        <v>2304.0769580542005</v>
      </c>
      <c r="L16" s="6">
        <v>2245.2779999999998</v>
      </c>
    </row>
    <row r="17" spans="1:14" ht="14.25" x14ac:dyDescent="0.2">
      <c r="A17" s="23" t="s">
        <v>46</v>
      </c>
      <c r="B17" s="6">
        <f t="shared" si="5"/>
        <v>2245.2779999999998</v>
      </c>
      <c r="C17" s="7">
        <v>1991.877</v>
      </c>
      <c r="D17" s="7">
        <f>(9275.9*2204.622)/1000000</f>
        <v>20.449853209799997</v>
      </c>
      <c r="E17" s="7">
        <f t="shared" si="1"/>
        <v>4257.6048532097993</v>
      </c>
      <c r="F17" s="6"/>
      <c r="G17" s="6">
        <f t="shared" si="2"/>
        <v>1950.4084486029992</v>
      </c>
      <c r="H17" s="7">
        <v>699.93299999999999</v>
      </c>
      <c r="I17" s="7">
        <f t="shared" ref="I17:I22" si="6">G17-H17</f>
        <v>1250.4754486029992</v>
      </c>
      <c r="J17" s="7">
        <f>(58789.4*2204.622)/1000000</f>
        <v>129.60840460679998</v>
      </c>
      <c r="K17" s="7">
        <f t="shared" si="4"/>
        <v>2080.0168532097991</v>
      </c>
      <c r="L17" s="6">
        <v>2177.5880000000002</v>
      </c>
    </row>
    <row r="18" spans="1:14" ht="14.25" x14ac:dyDescent="0.2">
      <c r="A18" s="23" t="s">
        <v>47</v>
      </c>
      <c r="B18" s="6">
        <f t="shared" ref="B18" si="7">L17</f>
        <v>2177.5880000000002</v>
      </c>
      <c r="C18" s="7">
        <v>2043.135</v>
      </c>
      <c r="D18" s="7">
        <f>(7517.3*2204.622)/1000000</f>
        <v>16.572804960599999</v>
      </c>
      <c r="E18" s="7">
        <f t="shared" ref="E18:E22" si="8">SUM(B18:D18)</f>
        <v>4237.2958049605995</v>
      </c>
      <c r="F18" s="6"/>
      <c r="G18" s="6">
        <f>K18-J18</f>
        <v>2019.0822001577997</v>
      </c>
      <c r="H18" s="7">
        <v>787.56200000000001</v>
      </c>
      <c r="I18" s="7">
        <f t="shared" si="6"/>
        <v>1231.5202001577995</v>
      </c>
      <c r="J18" s="7">
        <f>(32307.4*2204.622)/1000000</f>
        <v>71.225604802800007</v>
      </c>
      <c r="K18" s="7">
        <f>E18-L18</f>
        <v>2090.3078049605997</v>
      </c>
      <c r="L18" s="6">
        <v>2146.9879999999998</v>
      </c>
    </row>
    <row r="19" spans="1:14" ht="14.25" x14ac:dyDescent="0.2">
      <c r="A19" s="23" t="s">
        <v>49</v>
      </c>
      <c r="B19" s="6">
        <f>L18</f>
        <v>2146.9879999999998</v>
      </c>
      <c r="C19" s="7">
        <v>1908.6489999999999</v>
      </c>
      <c r="D19" s="7">
        <f>(11859.1*2204.622)/1000000</f>
        <v>26.144832760199996</v>
      </c>
      <c r="E19" s="7">
        <f t="shared" si="8"/>
        <v>4081.7818327601999</v>
      </c>
      <c r="F19" s="6"/>
      <c r="G19" s="6">
        <f>K19-J19</f>
        <v>1889.5260091224</v>
      </c>
      <c r="H19" s="7">
        <v>663.33</v>
      </c>
      <c r="I19" s="7">
        <f t="shared" si="6"/>
        <v>1226.1960091224</v>
      </c>
      <c r="J19" s="7">
        <f>(41549.9*2204.622)/1000000</f>
        <v>91.601823637799995</v>
      </c>
      <c r="K19" s="7">
        <f>E19-L19</f>
        <v>1981.1278327601999</v>
      </c>
      <c r="L19" s="6">
        <v>2100.654</v>
      </c>
    </row>
    <row r="20" spans="1:14" ht="14.25" x14ac:dyDescent="0.2">
      <c r="A20" s="23" t="s">
        <v>50</v>
      </c>
      <c r="B20" s="6">
        <f>L19</f>
        <v>2100.654</v>
      </c>
      <c r="C20" s="7">
        <v>1972.6880000000001</v>
      </c>
      <c r="D20" s="7">
        <f>(14714.2*2204.622)/1000000</f>
        <v>32.439249032399999</v>
      </c>
      <c r="E20" s="7">
        <f t="shared" si="8"/>
        <v>4105.7812490324004</v>
      </c>
      <c r="F20" s="6"/>
      <c r="G20" s="6">
        <f>K20-J20</f>
        <v>1999.9908670466004</v>
      </c>
      <c r="H20" s="7">
        <v>791.97900000000004</v>
      </c>
      <c r="I20" s="7">
        <f t="shared" si="6"/>
        <v>1208.0118670466004</v>
      </c>
      <c r="J20" s="7">
        <f>(16183.9*2204.622)/1000000</f>
        <v>35.679381985799999</v>
      </c>
      <c r="K20" s="7">
        <f>E20-L20</f>
        <v>2035.6702490324005</v>
      </c>
      <c r="L20" s="6">
        <v>2070.1109999999999</v>
      </c>
    </row>
    <row r="21" spans="1:14" ht="14.25" x14ac:dyDescent="0.2">
      <c r="A21" s="23" t="s">
        <v>51</v>
      </c>
      <c r="B21" s="6">
        <f>L20</f>
        <v>2070.1109999999999</v>
      </c>
      <c r="C21" s="7">
        <v>1989.7329999999999</v>
      </c>
      <c r="D21" s="7">
        <f>(19317.4*2204.622)/1000000</f>
        <v>42.5875650228</v>
      </c>
      <c r="E21" s="7">
        <f t="shared" si="8"/>
        <v>4102.4315650228</v>
      </c>
      <c r="F21" s="6"/>
      <c r="G21" s="6">
        <f>K21-J21</f>
        <v>1894.4255643878003</v>
      </c>
      <c r="H21" s="7">
        <v>814.73500000000001</v>
      </c>
      <c r="I21" s="7">
        <f t="shared" si="6"/>
        <v>1079.6905643878004</v>
      </c>
      <c r="J21" s="7">
        <f>(11142.5*2204.622)/1000000</f>
        <v>24.565000634999997</v>
      </c>
      <c r="K21" s="7">
        <f>E21-L21</f>
        <v>1918.9905650228002</v>
      </c>
      <c r="L21" s="6">
        <v>2183.4409999999998</v>
      </c>
    </row>
    <row r="22" spans="1:14" ht="14.25" x14ac:dyDescent="0.2">
      <c r="A22" s="23" t="s">
        <v>37</v>
      </c>
      <c r="B22" s="6">
        <f>L21</f>
        <v>2183.4409999999998</v>
      </c>
      <c r="C22" s="7">
        <v>1938.212</v>
      </c>
      <c r="D22" s="7">
        <f>(16009.4*2204.622)/1000000</f>
        <v>35.294675446799992</v>
      </c>
      <c r="E22" s="7">
        <f t="shared" si="8"/>
        <v>4156.9476754468005</v>
      </c>
      <c r="F22" s="6"/>
      <c r="G22" s="6">
        <f>K22-J22</f>
        <v>1991.8474927450004</v>
      </c>
      <c r="H22" s="7">
        <v>756.01499999999999</v>
      </c>
      <c r="I22" s="7">
        <f t="shared" si="6"/>
        <v>1235.8324927450003</v>
      </c>
      <c r="J22" s="7">
        <f>(15361.9*2204.622)/1000000</f>
        <v>33.867182701799997</v>
      </c>
      <c r="K22" s="7">
        <f>E22-L22</f>
        <v>2025.7146754468004</v>
      </c>
      <c r="L22" s="6">
        <v>2131.2330000000002</v>
      </c>
      <c r="N22" s="46"/>
    </row>
    <row r="23" spans="1:14" ht="14.25" x14ac:dyDescent="0.2">
      <c r="A23" s="23" t="s">
        <v>28</v>
      </c>
      <c r="B23" s="6"/>
      <c r="C23" s="7">
        <f>SUM(C11:C22)</f>
        <v>25022.667000000001</v>
      </c>
      <c r="D23" s="7">
        <f>SUM(D11:D22)</f>
        <v>301.9644297936</v>
      </c>
      <c r="E23" s="7">
        <f>B11+C23+D23</f>
        <v>27177.3064297936</v>
      </c>
      <c r="F23" s="6"/>
      <c r="G23" s="6">
        <f>SUM(G11:G22)</f>
        <v>23322.575127803797</v>
      </c>
      <c r="H23" s="7">
        <f>SUM(H11:H22)</f>
        <v>8849.5114432999999</v>
      </c>
      <c r="I23" s="7">
        <f>SUM(I11:I22)</f>
        <v>14473.063684503799</v>
      </c>
      <c r="J23" s="7">
        <f>SUM(J11:J22)</f>
        <v>1723.4983019897998</v>
      </c>
      <c r="K23" s="6">
        <f>SUM(K11:K22)</f>
        <v>25046.0734297936</v>
      </c>
      <c r="L23" s="6"/>
    </row>
    <row r="24" spans="1:14" ht="14.25" x14ac:dyDescent="0.2">
      <c r="A24" s="23"/>
      <c r="B24" s="6"/>
      <c r="C24" s="7"/>
      <c r="D24" s="7"/>
      <c r="E24" s="7"/>
      <c r="F24" s="6"/>
      <c r="G24" s="6"/>
      <c r="H24" s="7"/>
      <c r="I24" s="7"/>
      <c r="J24" s="7"/>
      <c r="K24" s="6"/>
      <c r="L24" s="6"/>
    </row>
    <row r="25" spans="1:14" ht="15" x14ac:dyDescent="0.25">
      <c r="A25" s="41" t="s">
        <v>53</v>
      </c>
      <c r="B25" s="6"/>
      <c r="C25" s="7"/>
      <c r="D25" s="7"/>
      <c r="E25" s="7"/>
      <c r="F25" s="6"/>
      <c r="G25" s="6"/>
      <c r="H25" s="7"/>
      <c r="I25" s="7"/>
      <c r="J25" s="7"/>
      <c r="K25" s="6"/>
      <c r="L25" s="6"/>
    </row>
    <row r="26" spans="1:14" ht="14.25" x14ac:dyDescent="0.2">
      <c r="A26" s="23" t="s">
        <v>38</v>
      </c>
      <c r="B26" s="6">
        <f>L22</f>
        <v>2131.2330000000002</v>
      </c>
      <c r="C26" s="7">
        <v>2347.58</v>
      </c>
      <c r="D26" s="7">
        <f>(15994.4*2204.622)/1000000</f>
        <v>35.261606116799996</v>
      </c>
      <c r="E26" s="7">
        <f t="shared" ref="E26:E30" si="9">SUM(B26:D26)</f>
        <v>4514.0746061168002</v>
      </c>
      <c r="F26" s="6"/>
      <c r="G26" s="6">
        <f t="shared" ref="G26:G32" si="10">K26-J26</f>
        <v>2070.5737418166</v>
      </c>
      <c r="H26" s="7">
        <v>832.42700000000002</v>
      </c>
      <c r="I26" s="7">
        <f t="shared" ref="I26:I31" si="11">G26-H26</f>
        <v>1238.1467418165998</v>
      </c>
      <c r="J26" s="7">
        <f>(25929.1*2204.622)/1000000</f>
        <v>57.16386430019999</v>
      </c>
      <c r="K26" s="7">
        <f t="shared" ref="K26:K32" si="12">E26-L26</f>
        <v>2127.7376061168002</v>
      </c>
      <c r="L26" s="6">
        <v>2386.337</v>
      </c>
    </row>
    <row r="27" spans="1:14" ht="14.25" x14ac:dyDescent="0.2">
      <c r="A27" s="23" t="s">
        <v>39</v>
      </c>
      <c r="B27" s="6">
        <f t="shared" ref="B27:B32" si="13">L26</f>
        <v>2386.337</v>
      </c>
      <c r="C27" s="7">
        <v>2235.37</v>
      </c>
      <c r="D27" s="7">
        <f>(15494*2204.622)/1000000</f>
        <v>34.158413267999997</v>
      </c>
      <c r="E27" s="7">
        <f t="shared" si="9"/>
        <v>4655.8654132680003</v>
      </c>
      <c r="F27" s="6"/>
      <c r="G27" s="6">
        <f t="shared" si="10"/>
        <v>1996.2802733038002</v>
      </c>
      <c r="H27" s="7">
        <v>818.01271279999992</v>
      </c>
      <c r="I27" s="7">
        <f t="shared" si="11"/>
        <v>1178.2675605038003</v>
      </c>
      <c r="J27" s="7">
        <f>(115041.1*2204.622)/1000000</f>
        <v>253.62213996419999</v>
      </c>
      <c r="K27" s="7">
        <f t="shared" si="12"/>
        <v>2249.9024132680001</v>
      </c>
      <c r="L27" s="6">
        <v>2405.9630000000002</v>
      </c>
    </row>
    <row r="28" spans="1:14" ht="14.25" x14ac:dyDescent="0.2">
      <c r="A28" s="23" t="s">
        <v>41</v>
      </c>
      <c r="B28" s="6">
        <f t="shared" si="13"/>
        <v>2405.9630000000002</v>
      </c>
      <c r="C28" s="7">
        <v>2324.183</v>
      </c>
      <c r="D28" s="7">
        <f>(14351.1*2204.622)/1000000</f>
        <v>31.638750784199999</v>
      </c>
      <c r="E28" s="7">
        <f t="shared" si="9"/>
        <v>4761.7847507842007</v>
      </c>
      <c r="F28" s="68"/>
      <c r="G28" s="6">
        <f t="shared" si="10"/>
        <v>2113.2355269914005</v>
      </c>
      <c r="H28" s="7">
        <v>937.33500000000004</v>
      </c>
      <c r="I28" s="7">
        <f t="shared" si="11"/>
        <v>1175.9005269914005</v>
      </c>
      <c r="J28" s="7">
        <f>(82852.4*2204.622)/1000000</f>
        <v>182.65822379279999</v>
      </c>
      <c r="K28" s="7">
        <f t="shared" si="12"/>
        <v>2295.8937507842006</v>
      </c>
      <c r="L28" s="6">
        <v>2465.8910000000001</v>
      </c>
    </row>
    <row r="29" spans="1:14" ht="14.25" x14ac:dyDescent="0.2">
      <c r="A29" s="23" t="s">
        <v>42</v>
      </c>
      <c r="B29" s="6">
        <f t="shared" si="13"/>
        <v>2465.8910000000001</v>
      </c>
      <c r="C29" s="7">
        <v>2277.355</v>
      </c>
      <c r="D29" s="7">
        <f>(7352.3*2204.622)/1000000</f>
        <v>16.209042330599999</v>
      </c>
      <c r="E29" s="7">
        <f t="shared" si="9"/>
        <v>4759.4550423306</v>
      </c>
      <c r="F29" s="68"/>
      <c r="G29" s="6">
        <f t="shared" si="10"/>
        <v>1975.1484729870001</v>
      </c>
      <c r="H29" s="7">
        <v>791.38699999999994</v>
      </c>
      <c r="I29" s="7">
        <f t="shared" si="11"/>
        <v>1183.7614729870002</v>
      </c>
      <c r="J29" s="7">
        <f>(128993.8*2204.622)/1000000</f>
        <v>284.38256934359998</v>
      </c>
      <c r="K29" s="7">
        <f t="shared" si="12"/>
        <v>2259.5310423306</v>
      </c>
      <c r="L29" s="6">
        <v>2499.924</v>
      </c>
    </row>
    <row r="30" spans="1:14" ht="14.25" x14ac:dyDescent="0.2">
      <c r="A30" s="23" t="s">
        <v>43</v>
      </c>
      <c r="B30" s="6">
        <f t="shared" si="13"/>
        <v>2499.924</v>
      </c>
      <c r="C30" s="7">
        <v>2064.1990000000001</v>
      </c>
      <c r="D30" s="7">
        <f>(9762.4*2204.622)/1000000</f>
        <v>21.522401812799998</v>
      </c>
      <c r="E30" s="7">
        <f t="shared" si="9"/>
        <v>4585.6454018127997</v>
      </c>
      <c r="F30" s="68"/>
      <c r="G30" s="6">
        <f t="shared" si="10"/>
        <v>1783.8920882499997</v>
      </c>
      <c r="H30" s="7">
        <v>740.60299999999995</v>
      </c>
      <c r="I30" s="7">
        <f t="shared" si="11"/>
        <v>1043.2890882499996</v>
      </c>
      <c r="J30" s="7">
        <f>(106887.4*2204.622)/1000000</f>
        <v>235.64631356279995</v>
      </c>
      <c r="K30" s="7">
        <f t="shared" si="12"/>
        <v>2019.5384018127997</v>
      </c>
      <c r="L30" s="6">
        <v>2566.107</v>
      </c>
    </row>
    <row r="31" spans="1:14" ht="14.25" x14ac:dyDescent="0.2">
      <c r="A31" s="23" t="s">
        <v>45</v>
      </c>
      <c r="B31" s="6">
        <f t="shared" si="13"/>
        <v>2566.107</v>
      </c>
      <c r="C31" s="7">
        <v>2277.5410000000002</v>
      </c>
      <c r="D31" s="7">
        <f>(10063.7*2204.622)/1000000</f>
        <v>22.1866544214</v>
      </c>
      <c r="E31" s="7">
        <f>SUM(B31:D31)</f>
        <v>4865.8346544214</v>
      </c>
      <c r="F31" s="68"/>
      <c r="G31" s="6">
        <f t="shared" si="10"/>
        <v>2165.6971246716002</v>
      </c>
      <c r="H31" s="7">
        <v>908.2897858</v>
      </c>
      <c r="I31" s="7">
        <f t="shared" si="11"/>
        <v>1257.4073388716001</v>
      </c>
      <c r="J31" s="7">
        <f>(120845.9*2204.622)/1000000</f>
        <v>266.41952974979995</v>
      </c>
      <c r="K31" s="7">
        <f t="shared" si="12"/>
        <v>2432.1166544214002</v>
      </c>
      <c r="L31" s="6">
        <v>2433.7179999999998</v>
      </c>
    </row>
    <row r="32" spans="1:14" ht="14.25" x14ac:dyDescent="0.2">
      <c r="A32" s="17" t="s">
        <v>46</v>
      </c>
      <c r="B32" s="64">
        <f t="shared" si="13"/>
        <v>2433.7179999999998</v>
      </c>
      <c r="C32" s="48">
        <v>2143.1179999999999</v>
      </c>
      <c r="D32" s="48">
        <f>(10668.4*2204.622)/1000000</f>
        <v>23.519789344799999</v>
      </c>
      <c r="E32" s="48">
        <f>SUM(B32:D32)</f>
        <v>4600.3557893447996</v>
      </c>
      <c r="F32" s="16"/>
      <c r="G32" s="64">
        <f t="shared" si="10"/>
        <v>2008.0816443671997</v>
      </c>
      <c r="H32" s="48" t="s">
        <v>75</v>
      </c>
      <c r="I32" s="48" t="s">
        <v>75</v>
      </c>
      <c r="J32" s="48">
        <f>(76240.8*2204.622)/1000000</f>
        <v>168.0821449776</v>
      </c>
      <c r="K32" s="48">
        <f t="shared" si="12"/>
        <v>2176.1637893447996</v>
      </c>
      <c r="L32" s="64">
        <v>2424.192</v>
      </c>
    </row>
    <row r="33" spans="1:12" ht="16.5" x14ac:dyDescent="0.2">
      <c r="A33" s="58" t="s">
        <v>76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14.25" x14ac:dyDescent="0.2">
      <c r="A34" s="19" t="s">
        <v>68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14.25" x14ac:dyDescent="0.2">
      <c r="A35" s="25" t="s">
        <v>56</v>
      </c>
      <c r="B35" s="50">
        <f ca="1">NOW()</f>
        <v>44725.649194097219</v>
      </c>
      <c r="K35" s="46"/>
    </row>
    <row r="36" spans="1:12" x14ac:dyDescent="0.2">
      <c r="E36" s="46"/>
    </row>
  </sheetData>
  <mergeCells count="3">
    <mergeCell ref="B5:L5"/>
    <mergeCell ref="G2:I2"/>
    <mergeCell ref="B2:E2"/>
  </mergeCells>
  <phoneticPr fontId="12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zoomScale="70" zoomScaleNormal="70" workbookViewId="0"/>
  </sheetViews>
  <sheetFormatPr defaultColWidth="9.140625" defaultRowHeight="12.75" x14ac:dyDescent="0.2"/>
  <cols>
    <col min="1" max="1" width="15.28515625" style="18" customWidth="1"/>
    <col min="2" max="2" width="13.140625" style="18" customWidth="1"/>
    <col min="3" max="3" width="12.140625" style="18" customWidth="1"/>
    <col min="4" max="4" width="13.42578125" style="18" customWidth="1"/>
    <col min="5" max="5" width="15.28515625" style="18" customWidth="1"/>
    <col min="6" max="6" width="11.42578125" style="18" customWidth="1"/>
    <col min="7" max="7" width="11.7109375" style="18" customWidth="1"/>
    <col min="8" max="8" width="8.7109375" style="18" customWidth="1"/>
    <col min="9" max="9" width="9.7109375" style="18" customWidth="1"/>
    <col min="10" max="11" width="7.7109375" style="18" customWidth="1"/>
    <col min="12" max="12" width="8.5703125" style="18" customWidth="1"/>
    <col min="13" max="13" width="9.5703125" style="18" customWidth="1"/>
    <col min="14" max="15" width="7.5703125" style="18" customWidth="1"/>
    <col min="16" max="18" width="9.140625" style="18"/>
    <col min="19" max="19" width="17.42578125" style="18" bestFit="1" customWidth="1"/>
    <col min="20" max="20" width="9.140625" style="18"/>
    <col min="21" max="21" width="28.28515625" style="18" bestFit="1" customWidth="1"/>
    <col min="22" max="16384" width="9.140625" style="18"/>
  </cols>
  <sheetData>
    <row r="1" spans="1:15" ht="14.25" x14ac:dyDescent="0.2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9"/>
      <c r="M1" s="19"/>
      <c r="N1" s="19"/>
      <c r="O1" s="19"/>
    </row>
    <row r="2" spans="1:15" ht="14.25" x14ac:dyDescent="0.2">
      <c r="A2" s="19"/>
      <c r="B2" s="164" t="s">
        <v>57</v>
      </c>
      <c r="C2" s="164"/>
      <c r="D2" s="164"/>
      <c r="E2" s="164"/>
      <c r="F2" s="96"/>
      <c r="G2" s="164" t="s">
        <v>58</v>
      </c>
      <c r="H2" s="164"/>
      <c r="I2" s="164"/>
      <c r="J2" s="164"/>
      <c r="K2" s="96"/>
      <c r="L2" s="19"/>
      <c r="M2" s="19"/>
      <c r="N2" s="19"/>
      <c r="O2" s="19"/>
    </row>
    <row r="3" spans="1:15" ht="14.25" x14ac:dyDescent="0.2">
      <c r="A3" s="19" t="s">
        <v>17</v>
      </c>
      <c r="B3" s="25" t="s">
        <v>69</v>
      </c>
      <c r="C3" s="25"/>
      <c r="D3" s="25"/>
      <c r="E3" s="25"/>
      <c r="F3" s="97"/>
      <c r="G3" s="25"/>
      <c r="H3" s="25"/>
      <c r="I3" s="25"/>
      <c r="J3" s="25"/>
      <c r="K3" s="21" t="s">
        <v>59</v>
      </c>
      <c r="L3" s="19"/>
      <c r="M3" s="19"/>
      <c r="N3" s="19"/>
      <c r="O3" s="19"/>
    </row>
    <row r="4" spans="1:15" ht="14.25" x14ac:dyDescent="0.2">
      <c r="A4" s="26" t="s">
        <v>77</v>
      </c>
      <c r="B4" s="28" t="s">
        <v>78</v>
      </c>
      <c r="C4" s="78" t="s">
        <v>26</v>
      </c>
      <c r="D4" s="30" t="s">
        <v>70</v>
      </c>
      <c r="E4" s="28" t="s">
        <v>79</v>
      </c>
      <c r="F4" s="29"/>
      <c r="G4" s="28" t="s">
        <v>80</v>
      </c>
      <c r="H4" s="28" t="s">
        <v>30</v>
      </c>
      <c r="I4" s="28" t="s">
        <v>81</v>
      </c>
      <c r="J4" s="28" t="s">
        <v>82</v>
      </c>
      <c r="K4" s="28" t="s">
        <v>61</v>
      </c>
      <c r="L4" s="19"/>
      <c r="M4" s="19"/>
      <c r="N4" s="19"/>
      <c r="O4" s="19"/>
    </row>
    <row r="5" spans="1:15" ht="14.25" x14ac:dyDescent="0.2">
      <c r="A5" s="19"/>
      <c r="B5" s="167" t="s">
        <v>83</v>
      </c>
      <c r="C5" s="167"/>
      <c r="D5" s="167"/>
      <c r="E5" s="167"/>
      <c r="F5" s="167"/>
      <c r="G5" s="167"/>
      <c r="H5" s="167"/>
      <c r="I5" s="167"/>
      <c r="J5" s="167"/>
      <c r="K5" s="167"/>
      <c r="L5" s="19"/>
      <c r="M5" s="19"/>
      <c r="N5" s="19"/>
      <c r="O5" s="19"/>
    </row>
    <row r="6" spans="1:15" ht="14.25" x14ac:dyDescent="0.2">
      <c r="A6" s="23" t="s">
        <v>34</v>
      </c>
      <c r="B6" s="99">
        <v>456.0068619717149</v>
      </c>
      <c r="C6" s="99">
        <v>4468</v>
      </c>
      <c r="D6" s="100">
        <v>1</v>
      </c>
      <c r="E6" s="99">
        <f>B6+C6+D6</f>
        <v>4925.0068619717149</v>
      </c>
      <c r="F6" s="101"/>
      <c r="G6" s="99">
        <v>1562.7429999999999</v>
      </c>
      <c r="H6" s="102">
        <v>282.68453874670092</v>
      </c>
      <c r="I6" s="99">
        <v>2687</v>
      </c>
      <c r="J6" s="99">
        <f>E6-K6</f>
        <v>4532.4948619717152</v>
      </c>
      <c r="K6" s="99">
        <v>392.512</v>
      </c>
      <c r="L6" s="19"/>
      <c r="M6" s="19"/>
      <c r="N6" s="19"/>
      <c r="O6" s="19"/>
    </row>
    <row r="7" spans="1:15" ht="16.5" x14ac:dyDescent="0.2">
      <c r="A7" s="23" t="s">
        <v>35</v>
      </c>
      <c r="B7" s="99">
        <f>K6</f>
        <v>392.512</v>
      </c>
      <c r="C7" s="99">
        <v>5323</v>
      </c>
      <c r="D7" s="100">
        <v>25</v>
      </c>
      <c r="E7" s="99">
        <f>B7+C7+D7</f>
        <v>5740.5119999999997</v>
      </c>
      <c r="F7" s="101"/>
      <c r="G7" s="99">
        <v>1475</v>
      </c>
      <c r="H7" s="102">
        <v>285</v>
      </c>
      <c r="I7" s="99">
        <v>3558.7999999999997</v>
      </c>
      <c r="J7" s="99">
        <f>E7-K7</f>
        <v>5318.7999999999993</v>
      </c>
      <c r="K7" s="99">
        <v>421.71199999999999</v>
      </c>
      <c r="L7" s="19"/>
      <c r="M7" s="19"/>
      <c r="N7" s="19"/>
      <c r="O7" s="19"/>
    </row>
    <row r="8" spans="1:15" ht="16.5" x14ac:dyDescent="0.2">
      <c r="A8" s="17" t="s">
        <v>36</v>
      </c>
      <c r="B8" s="103">
        <f>K7</f>
        <v>421.71199999999999</v>
      </c>
      <c r="C8" s="103">
        <v>5115</v>
      </c>
      <c r="D8" s="104">
        <v>5</v>
      </c>
      <c r="E8" s="103">
        <f>B8+C8+D8</f>
        <v>5541.7119999999995</v>
      </c>
      <c r="F8" s="105"/>
      <c r="G8" s="103">
        <v>1550</v>
      </c>
      <c r="H8" s="106">
        <v>275</v>
      </c>
      <c r="I8" s="103">
        <v>3295</v>
      </c>
      <c r="J8" s="103">
        <f>E8-K8</f>
        <v>5120</v>
      </c>
      <c r="K8" s="103">
        <v>421.71199999999999</v>
      </c>
      <c r="L8" s="19"/>
      <c r="M8" s="19"/>
      <c r="N8" s="19"/>
      <c r="O8" s="19"/>
    </row>
    <row r="9" spans="1:15" ht="16.5" x14ac:dyDescent="0.2">
      <c r="A9" s="58" t="s">
        <v>84</v>
      </c>
      <c r="B9" s="19"/>
      <c r="C9" s="98"/>
      <c r="D9" s="98"/>
      <c r="E9" s="98"/>
      <c r="F9" s="98"/>
      <c r="G9" s="107"/>
      <c r="H9" s="98"/>
      <c r="I9" s="98"/>
      <c r="J9" s="98"/>
      <c r="K9" s="19"/>
      <c r="L9" s="19"/>
      <c r="M9" s="19"/>
      <c r="N9" s="19"/>
      <c r="O9" s="19"/>
    </row>
    <row r="10" spans="1:15" ht="14.25" x14ac:dyDescent="0.2">
      <c r="A10" s="19" t="s">
        <v>85</v>
      </c>
      <c r="B10" s="38"/>
      <c r="C10" s="44"/>
      <c r="D10" s="19"/>
      <c r="E10" s="38"/>
      <c r="F10" s="38"/>
      <c r="G10" s="38"/>
      <c r="H10" s="38"/>
      <c r="I10" s="38"/>
      <c r="J10" s="38"/>
      <c r="K10" s="19"/>
      <c r="L10" s="19"/>
      <c r="M10" s="19"/>
      <c r="N10" s="19"/>
      <c r="O10" s="19"/>
    </row>
    <row r="11" spans="1:15" ht="14.25" x14ac:dyDescent="0.2">
      <c r="A11" s="19" t="s">
        <v>86</v>
      </c>
      <c r="B11" s="38"/>
      <c r="C11" s="44"/>
      <c r="D11" s="19"/>
      <c r="E11" s="38"/>
      <c r="F11" s="38"/>
      <c r="G11" s="38"/>
      <c r="H11" s="38"/>
      <c r="I11" s="38"/>
      <c r="J11" s="38"/>
      <c r="K11" s="19"/>
      <c r="L11" s="19"/>
      <c r="M11" s="19"/>
      <c r="N11" s="19"/>
      <c r="O11" s="19"/>
    </row>
    <row r="12" spans="1:15" ht="14.25" x14ac:dyDescent="0.2">
      <c r="A12" s="19"/>
      <c r="B12" s="38"/>
      <c r="C12" s="44"/>
      <c r="D12" s="19"/>
      <c r="E12" s="38"/>
      <c r="F12" s="38"/>
      <c r="G12" s="38"/>
      <c r="H12" s="38"/>
      <c r="I12" s="38"/>
      <c r="J12" s="38"/>
      <c r="K12" s="19"/>
      <c r="L12" s="19"/>
      <c r="M12" s="19"/>
      <c r="N12" s="19"/>
      <c r="O12" s="19"/>
    </row>
    <row r="13" spans="1:15" ht="14.25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4.25" x14ac:dyDescent="0.2">
      <c r="A14" s="17" t="s">
        <v>5</v>
      </c>
      <c r="B14" s="17"/>
      <c r="C14" s="17"/>
      <c r="D14" s="17"/>
      <c r="E14" s="17"/>
      <c r="F14" s="17"/>
      <c r="G14" s="17"/>
      <c r="H14" s="17"/>
      <c r="I14" s="19"/>
      <c r="J14" s="17"/>
      <c r="K14" s="19"/>
      <c r="L14" s="19"/>
      <c r="M14" s="19"/>
      <c r="N14" s="19"/>
      <c r="O14" s="19"/>
    </row>
    <row r="15" spans="1:15" ht="14.25" x14ac:dyDescent="0.2">
      <c r="A15" s="19"/>
      <c r="B15" s="164" t="s">
        <v>57</v>
      </c>
      <c r="C15" s="164"/>
      <c r="D15" s="164"/>
      <c r="E15" s="164"/>
      <c r="F15" s="19"/>
      <c r="G15" s="164" t="s">
        <v>58</v>
      </c>
      <c r="H15" s="164"/>
      <c r="I15" s="164"/>
      <c r="J15" s="19"/>
      <c r="K15" s="19"/>
      <c r="L15" s="19"/>
      <c r="M15" s="19"/>
      <c r="N15" s="19"/>
      <c r="O15" s="19"/>
    </row>
    <row r="16" spans="1:15" ht="14.25" x14ac:dyDescent="0.2">
      <c r="A16" s="19" t="s">
        <v>17</v>
      </c>
      <c r="B16" s="21" t="s">
        <v>69</v>
      </c>
      <c r="C16" s="25"/>
      <c r="D16" s="25"/>
      <c r="E16" s="25"/>
      <c r="F16" s="25"/>
      <c r="G16" s="25"/>
      <c r="H16" s="25"/>
      <c r="I16" s="25"/>
      <c r="J16" s="21" t="s">
        <v>59</v>
      </c>
      <c r="K16" s="19"/>
      <c r="L16" s="19"/>
      <c r="M16" s="19"/>
      <c r="N16" s="19"/>
      <c r="O16" s="19"/>
    </row>
    <row r="17" spans="1:15" ht="14.25" x14ac:dyDescent="0.2">
      <c r="A17" s="26" t="s">
        <v>60</v>
      </c>
      <c r="B17" s="28" t="s">
        <v>61</v>
      </c>
      <c r="C17" s="78" t="s">
        <v>26</v>
      </c>
      <c r="D17" s="30" t="s">
        <v>70</v>
      </c>
      <c r="E17" s="28" t="s">
        <v>82</v>
      </c>
      <c r="F17" s="29"/>
      <c r="G17" s="99" t="s">
        <v>87</v>
      </c>
      <c r="H17" s="28" t="s">
        <v>30</v>
      </c>
      <c r="I17" s="30" t="s">
        <v>62</v>
      </c>
      <c r="J17" s="28" t="s">
        <v>61</v>
      </c>
      <c r="K17" s="19"/>
      <c r="L17" s="19"/>
      <c r="M17" s="19"/>
      <c r="N17" s="19"/>
      <c r="O17" s="19"/>
    </row>
    <row r="18" spans="1:15" ht="14.25" x14ac:dyDescent="0.2">
      <c r="A18" s="19"/>
      <c r="B18" s="167" t="s">
        <v>88</v>
      </c>
      <c r="C18" s="167"/>
      <c r="D18" s="167"/>
      <c r="E18" s="167"/>
      <c r="F18" s="167"/>
      <c r="G18" s="167"/>
      <c r="H18" s="167"/>
      <c r="I18" s="167"/>
      <c r="J18" s="167"/>
      <c r="K18" s="19"/>
      <c r="L18" s="19"/>
      <c r="M18" s="19"/>
      <c r="N18" s="19"/>
      <c r="O18" s="19"/>
    </row>
    <row r="19" spans="1:15" ht="14.25" x14ac:dyDescent="0.2">
      <c r="A19" s="23" t="s">
        <v>34</v>
      </c>
      <c r="B19" s="99">
        <v>24.872</v>
      </c>
      <c r="C19" s="102">
        <v>648.57100000000003</v>
      </c>
      <c r="D19" s="100">
        <v>0</v>
      </c>
      <c r="E19" s="102">
        <f>B19+C19+D19</f>
        <v>673.44299999999998</v>
      </c>
      <c r="F19" s="101"/>
      <c r="G19" s="102">
        <v>573.37699999999995</v>
      </c>
      <c r="H19" s="102">
        <v>60.759509638330982</v>
      </c>
      <c r="I19" s="102">
        <f>SUM(G19:H19)</f>
        <v>634.13650963833095</v>
      </c>
      <c r="J19" s="99">
        <v>39.305999999999997</v>
      </c>
      <c r="K19" s="19"/>
      <c r="L19" s="19"/>
      <c r="M19" s="19"/>
      <c r="N19" s="19"/>
      <c r="O19" s="19"/>
    </row>
    <row r="20" spans="1:15" ht="16.5" x14ac:dyDescent="0.2">
      <c r="A20" s="23" t="s">
        <v>35</v>
      </c>
      <c r="B20" s="99">
        <f>J19</f>
        <v>39.305999999999997</v>
      </c>
      <c r="C20" s="102">
        <v>665</v>
      </c>
      <c r="D20" s="100">
        <v>0</v>
      </c>
      <c r="E20" s="102">
        <f>B20+C20+D20</f>
        <v>704.30600000000004</v>
      </c>
      <c r="F20" s="101"/>
      <c r="G20" s="102">
        <v>619.30600000000004</v>
      </c>
      <c r="H20" s="102">
        <v>60</v>
      </c>
      <c r="I20" s="102">
        <f>SUM(G20:H20)</f>
        <v>679.30600000000004</v>
      </c>
      <c r="J20" s="99">
        <v>25</v>
      </c>
      <c r="K20" s="19"/>
      <c r="L20" s="19"/>
      <c r="M20" s="19"/>
      <c r="N20" s="19"/>
      <c r="O20" s="19"/>
    </row>
    <row r="21" spans="1:15" ht="16.5" x14ac:dyDescent="0.2">
      <c r="A21" s="17" t="s">
        <v>36</v>
      </c>
      <c r="B21" s="103">
        <f>J20</f>
        <v>25</v>
      </c>
      <c r="C21" s="106">
        <v>700</v>
      </c>
      <c r="D21" s="104">
        <v>0</v>
      </c>
      <c r="E21" s="106">
        <f>B21+C21+D21</f>
        <v>725</v>
      </c>
      <c r="F21" s="105"/>
      <c r="G21" s="106">
        <v>625</v>
      </c>
      <c r="H21" s="106">
        <v>60</v>
      </c>
      <c r="I21" s="106">
        <f>SUM(G21:H21)</f>
        <v>685</v>
      </c>
      <c r="J21" s="103">
        <v>40</v>
      </c>
      <c r="K21" s="19"/>
      <c r="L21" s="19"/>
      <c r="M21" s="19"/>
      <c r="N21" s="19"/>
      <c r="O21" s="19"/>
    </row>
    <row r="22" spans="1:15" ht="16.5" x14ac:dyDescent="0.2">
      <c r="A22" s="58" t="s">
        <v>84</v>
      </c>
      <c r="B22" s="19"/>
      <c r="C22" s="98"/>
      <c r="D22" s="98"/>
      <c r="E22" s="98"/>
      <c r="F22" s="98"/>
      <c r="G22" s="98"/>
      <c r="H22" s="98"/>
      <c r="I22" s="19"/>
      <c r="J22" s="19"/>
      <c r="K22" s="19"/>
      <c r="L22" s="19"/>
      <c r="M22" s="19"/>
      <c r="N22" s="19"/>
      <c r="O22" s="19"/>
    </row>
    <row r="23" spans="1:15" ht="14.25" x14ac:dyDescent="0.2">
      <c r="A23" s="19" t="s">
        <v>89</v>
      </c>
      <c r="B23" s="101"/>
      <c r="C23" s="101"/>
      <c r="D23" s="101"/>
      <c r="E23" s="101"/>
      <c r="F23" s="101"/>
      <c r="G23" s="101"/>
      <c r="H23" s="101"/>
      <c r="I23" s="19"/>
      <c r="J23" s="19"/>
      <c r="K23" s="19"/>
      <c r="L23" s="19"/>
      <c r="M23" s="19"/>
      <c r="N23" s="19"/>
      <c r="O23" s="19"/>
    </row>
    <row r="24" spans="1:15" ht="14.25" x14ac:dyDescent="0.2">
      <c r="A24" s="23"/>
      <c r="B24" s="38"/>
      <c r="C24" s="38"/>
      <c r="D24" s="38"/>
      <c r="E24" s="38"/>
      <c r="F24" s="38"/>
      <c r="G24" s="38"/>
      <c r="H24" s="38"/>
      <c r="I24" s="19"/>
      <c r="J24" s="19"/>
      <c r="K24" s="19"/>
      <c r="L24" s="19"/>
      <c r="M24" s="19"/>
      <c r="N24" s="19"/>
      <c r="O24" s="19"/>
    </row>
    <row r="25" spans="1:15" ht="14.25" x14ac:dyDescent="0.2">
      <c r="A25" s="23"/>
      <c r="B25" s="38"/>
      <c r="C25" s="44"/>
      <c r="D25" s="38"/>
      <c r="E25" s="38"/>
      <c r="F25" s="38"/>
      <c r="G25" s="38"/>
      <c r="H25" s="38"/>
      <c r="I25" s="19"/>
      <c r="J25" s="19"/>
      <c r="K25" s="19"/>
      <c r="L25" s="19"/>
      <c r="M25" s="19"/>
      <c r="N25" s="19"/>
      <c r="O25" s="19"/>
    </row>
    <row r="26" spans="1:15" ht="14.25" x14ac:dyDescent="0.2">
      <c r="A26" s="17" t="s">
        <v>6</v>
      </c>
      <c r="B26" s="17"/>
      <c r="C26" s="17"/>
      <c r="D26" s="17"/>
      <c r="E26" s="17"/>
      <c r="F26" s="17"/>
      <c r="G26" s="17"/>
      <c r="H26" s="17"/>
      <c r="I26" s="19"/>
      <c r="J26" s="17"/>
      <c r="K26" s="19"/>
      <c r="L26" s="19"/>
      <c r="M26" s="19"/>
      <c r="N26" s="19"/>
      <c r="O26" s="19"/>
    </row>
    <row r="27" spans="1:15" ht="14.25" x14ac:dyDescent="0.2">
      <c r="A27" s="19"/>
      <c r="B27" s="164" t="s">
        <v>57</v>
      </c>
      <c r="C27" s="164"/>
      <c r="D27" s="164"/>
      <c r="E27" s="164"/>
      <c r="F27" s="19"/>
      <c r="G27" s="164" t="s">
        <v>58</v>
      </c>
      <c r="H27" s="164"/>
      <c r="I27" s="164"/>
      <c r="J27" s="19"/>
      <c r="K27" s="19"/>
      <c r="L27" s="19"/>
      <c r="M27" s="19"/>
      <c r="N27" s="19"/>
      <c r="O27" s="19"/>
    </row>
    <row r="28" spans="1:15" ht="14.25" x14ac:dyDescent="0.2">
      <c r="A28" s="19" t="s">
        <v>17</v>
      </c>
      <c r="B28" s="21" t="s">
        <v>69</v>
      </c>
      <c r="C28" s="25"/>
      <c r="D28" s="25"/>
      <c r="E28" s="25"/>
      <c r="F28" s="25"/>
      <c r="G28" s="25"/>
      <c r="H28" s="25"/>
      <c r="I28" s="25"/>
      <c r="J28" s="21" t="s">
        <v>59</v>
      </c>
      <c r="K28" s="19"/>
      <c r="L28" s="19"/>
      <c r="M28" s="19"/>
      <c r="N28" s="19"/>
      <c r="O28" s="19"/>
    </row>
    <row r="29" spans="1:15" ht="14.25" x14ac:dyDescent="0.2">
      <c r="A29" s="26" t="s">
        <v>60</v>
      </c>
      <c r="B29" s="28" t="s">
        <v>61</v>
      </c>
      <c r="C29" s="28" t="s">
        <v>26</v>
      </c>
      <c r="D29" s="30" t="s">
        <v>70</v>
      </c>
      <c r="E29" s="28" t="s">
        <v>82</v>
      </c>
      <c r="F29" s="29"/>
      <c r="G29" s="28" t="s">
        <v>63</v>
      </c>
      <c r="H29" s="28" t="s">
        <v>30</v>
      </c>
      <c r="I29" s="28" t="s">
        <v>62</v>
      </c>
      <c r="J29" s="28" t="s">
        <v>65</v>
      </c>
      <c r="K29" s="19"/>
      <c r="L29" s="19"/>
      <c r="M29" s="19"/>
      <c r="N29" s="19"/>
      <c r="O29" s="19"/>
    </row>
    <row r="30" spans="1:15" ht="14.25" x14ac:dyDescent="0.2">
      <c r="A30" s="19"/>
      <c r="B30" s="167" t="s">
        <v>90</v>
      </c>
      <c r="C30" s="167"/>
      <c r="D30" s="167"/>
      <c r="E30" s="167"/>
      <c r="F30" s="167"/>
      <c r="G30" s="167"/>
      <c r="H30" s="167"/>
      <c r="I30" s="167"/>
      <c r="J30" s="167"/>
      <c r="K30" s="19"/>
      <c r="L30" s="19"/>
      <c r="M30" s="19"/>
      <c r="N30" s="19"/>
      <c r="O30" s="19"/>
    </row>
    <row r="31" spans="1:15" ht="14.25" x14ac:dyDescent="0.2">
      <c r="A31" s="23" t="s">
        <v>34</v>
      </c>
      <c r="B31" s="100">
        <v>44.537999999999997</v>
      </c>
      <c r="C31" s="102">
        <v>399.91800000000001</v>
      </c>
      <c r="D31" s="100">
        <v>21.365218272682</v>
      </c>
      <c r="E31" s="108">
        <f>B31+C31+D31</f>
        <v>465.82121827268202</v>
      </c>
      <c r="F31" s="101"/>
      <c r="G31" s="102">
        <f>I31-H31</f>
        <v>355.51274692573605</v>
      </c>
      <c r="H31" s="102">
        <v>62.100471346945994</v>
      </c>
      <c r="I31" s="102">
        <f>E31-J31</f>
        <v>417.61321827268205</v>
      </c>
      <c r="J31" s="102">
        <v>48.207999999999998</v>
      </c>
      <c r="K31" s="19"/>
      <c r="L31" s="19"/>
      <c r="M31" s="19"/>
      <c r="N31" s="19"/>
      <c r="O31" s="19"/>
    </row>
    <row r="32" spans="1:15" ht="16.5" x14ac:dyDescent="0.2">
      <c r="A32" s="23" t="s">
        <v>35</v>
      </c>
      <c r="B32" s="100">
        <f>J31</f>
        <v>48.207999999999998</v>
      </c>
      <c r="C32" s="102">
        <v>400</v>
      </c>
      <c r="D32" s="100">
        <v>10</v>
      </c>
      <c r="E32" s="108">
        <f>B32+C32+D32</f>
        <v>458.20799999999997</v>
      </c>
      <c r="F32" s="101"/>
      <c r="G32" s="102">
        <f>I32-H32</f>
        <v>318.20799999999997</v>
      </c>
      <c r="H32" s="102">
        <v>95</v>
      </c>
      <c r="I32" s="102">
        <f>E32-J32</f>
        <v>413.20799999999997</v>
      </c>
      <c r="J32" s="102">
        <v>45</v>
      </c>
      <c r="K32" s="19"/>
      <c r="L32" s="19"/>
      <c r="M32" s="19"/>
      <c r="N32" s="19"/>
      <c r="O32" s="19"/>
    </row>
    <row r="33" spans="1:15" ht="16.5" x14ac:dyDescent="0.2">
      <c r="A33" s="17" t="s">
        <v>36</v>
      </c>
      <c r="B33" s="104">
        <f>J32</f>
        <v>45</v>
      </c>
      <c r="C33" s="106">
        <v>410</v>
      </c>
      <c r="D33" s="104">
        <v>10</v>
      </c>
      <c r="E33" s="109">
        <f>B33+C33+D33</f>
        <v>465</v>
      </c>
      <c r="F33" s="105"/>
      <c r="G33" s="106">
        <f>I33-H33</f>
        <v>355</v>
      </c>
      <c r="H33" s="106">
        <v>65</v>
      </c>
      <c r="I33" s="106">
        <f>E33-J33</f>
        <v>420</v>
      </c>
      <c r="J33" s="106">
        <v>45</v>
      </c>
      <c r="K33" s="19"/>
      <c r="L33" s="19"/>
      <c r="M33" s="19"/>
      <c r="N33" s="19"/>
      <c r="O33" s="19"/>
    </row>
    <row r="34" spans="1:15" ht="16.5" x14ac:dyDescent="0.2">
      <c r="A34" s="58" t="s">
        <v>84</v>
      </c>
      <c r="B34" s="19"/>
      <c r="C34" s="98"/>
      <c r="D34" s="98"/>
      <c r="E34" s="98"/>
      <c r="F34" s="98"/>
      <c r="G34" s="98"/>
      <c r="H34" s="98"/>
      <c r="I34" s="19"/>
      <c r="J34" s="19"/>
      <c r="K34" s="19"/>
      <c r="L34" s="19"/>
      <c r="M34" s="19"/>
      <c r="N34" s="19"/>
      <c r="O34" s="19"/>
    </row>
    <row r="35" spans="1:15" ht="14.25" x14ac:dyDescent="0.2">
      <c r="A35" s="19" t="s">
        <v>89</v>
      </c>
      <c r="B35" s="38"/>
      <c r="C35" s="44"/>
      <c r="D35" s="38"/>
      <c r="E35" s="38"/>
      <c r="F35" s="38"/>
      <c r="G35" s="38"/>
      <c r="H35" s="38"/>
      <c r="I35" s="19"/>
      <c r="J35" s="19"/>
      <c r="K35" s="19"/>
      <c r="L35" s="19"/>
      <c r="M35" s="19"/>
      <c r="N35" s="19"/>
      <c r="O35" s="19"/>
    </row>
    <row r="36" spans="1:15" ht="14.25" x14ac:dyDescent="0.2">
      <c r="A36" s="23"/>
      <c r="B36" s="23"/>
      <c r="C36" s="23"/>
      <c r="D36" s="23"/>
      <c r="E36" s="23"/>
      <c r="F36" s="23"/>
      <c r="G36" s="23"/>
      <c r="H36" s="23"/>
      <c r="I36" s="19"/>
      <c r="J36" s="19"/>
      <c r="K36" s="19"/>
      <c r="L36" s="19"/>
      <c r="M36" s="19"/>
      <c r="N36" s="19"/>
      <c r="O36" s="19"/>
    </row>
    <row r="37" spans="1:15" ht="14.25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4.25" x14ac:dyDescent="0.2">
      <c r="A38" s="17" t="s">
        <v>7</v>
      </c>
      <c r="B38" s="17"/>
      <c r="C38" s="17"/>
      <c r="D38" s="17"/>
      <c r="E38" s="17"/>
      <c r="F38" s="17"/>
      <c r="G38" s="17"/>
      <c r="H38" s="17"/>
      <c r="I38" s="17"/>
      <c r="J38" s="19"/>
      <c r="K38" s="19"/>
      <c r="L38" s="19"/>
      <c r="M38" s="19"/>
      <c r="N38" s="19"/>
      <c r="O38" s="19"/>
    </row>
    <row r="39" spans="1:15" ht="14.25" x14ac:dyDescent="0.2">
      <c r="A39" s="19"/>
      <c r="B39" s="164" t="s">
        <v>13</v>
      </c>
      <c r="C39" s="164"/>
      <c r="D39" s="21" t="s">
        <v>14</v>
      </c>
      <c r="E39" s="164" t="s">
        <v>15</v>
      </c>
      <c r="F39" s="164"/>
      <c r="G39" s="164"/>
      <c r="H39" s="164"/>
      <c r="I39" s="19"/>
      <c r="J39" s="164" t="s">
        <v>58</v>
      </c>
      <c r="K39" s="164"/>
      <c r="L39" s="164"/>
      <c r="M39" s="164"/>
      <c r="N39" s="164"/>
      <c r="O39" s="96"/>
    </row>
    <row r="40" spans="1:15" ht="14.25" x14ac:dyDescent="0.2">
      <c r="A40" s="19" t="s">
        <v>17</v>
      </c>
      <c r="B40" s="21" t="s">
        <v>18</v>
      </c>
      <c r="C40" s="21" t="s">
        <v>19</v>
      </c>
      <c r="D40" s="19"/>
      <c r="E40" s="21" t="s">
        <v>69</v>
      </c>
      <c r="F40" s="21"/>
      <c r="G40" s="21"/>
      <c r="H40" s="21"/>
      <c r="I40" s="19"/>
      <c r="J40" s="110" t="s">
        <v>87</v>
      </c>
      <c r="K40" s="21"/>
      <c r="L40" s="21" t="s">
        <v>22</v>
      </c>
      <c r="M40" s="21"/>
      <c r="N40" s="21"/>
      <c r="O40" s="21" t="s">
        <v>59</v>
      </c>
    </row>
    <row r="41" spans="1:15" ht="14.25" x14ac:dyDescent="0.2">
      <c r="A41" s="26" t="s">
        <v>77</v>
      </c>
      <c r="B41" s="27"/>
      <c r="C41" s="27"/>
      <c r="D41" s="27"/>
      <c r="E41" s="28" t="s">
        <v>61</v>
      </c>
      <c r="F41" s="28" t="s">
        <v>26</v>
      </c>
      <c r="G41" s="28" t="s">
        <v>70</v>
      </c>
      <c r="H41" s="28" t="s">
        <v>82</v>
      </c>
      <c r="I41" s="28"/>
      <c r="J41" s="28" t="s">
        <v>91</v>
      </c>
      <c r="K41" s="28" t="s">
        <v>80</v>
      </c>
      <c r="L41" s="28" t="s">
        <v>29</v>
      </c>
      <c r="M41" s="30" t="s">
        <v>30</v>
      </c>
      <c r="N41" s="28" t="s">
        <v>62</v>
      </c>
      <c r="O41" s="28" t="s">
        <v>65</v>
      </c>
    </row>
    <row r="42" spans="1:15" ht="14.25" x14ac:dyDescent="0.2">
      <c r="A42" s="19"/>
      <c r="B42" s="168" t="s">
        <v>92</v>
      </c>
      <c r="C42" s="169"/>
      <c r="D42" s="111" t="s">
        <v>93</v>
      </c>
      <c r="E42" s="170" t="s">
        <v>94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9"/>
    </row>
    <row r="43" spans="1:15" ht="14.25" x14ac:dyDescent="0.2">
      <c r="A43" s="19"/>
      <c r="B43" s="21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14.25" x14ac:dyDescent="0.2">
      <c r="A44" s="23" t="s">
        <v>34</v>
      </c>
      <c r="B44" s="99">
        <v>1662.5</v>
      </c>
      <c r="C44" s="99">
        <v>1615.2</v>
      </c>
      <c r="D44" s="99">
        <f>F44*1000/C44</f>
        <v>3812.7476473501733</v>
      </c>
      <c r="E44" s="99">
        <v>2118.1880000000001</v>
      </c>
      <c r="F44" s="99">
        <v>6158.35</v>
      </c>
      <c r="G44" s="102">
        <v>121.04780464882167</v>
      </c>
      <c r="H44" s="99">
        <f>SUM(E44:G44)</f>
        <v>8397.5858046488229</v>
      </c>
      <c r="I44" s="99"/>
      <c r="J44" s="99">
        <v>3357.2</v>
      </c>
      <c r="K44" s="99">
        <v>872.91017669999985</v>
      </c>
      <c r="L44" s="102">
        <v>782.5619895425192</v>
      </c>
      <c r="M44" s="102">
        <v>1416.75</v>
      </c>
      <c r="N44" s="99">
        <f>H44-O44</f>
        <v>6429.4238046488226</v>
      </c>
      <c r="O44" s="99">
        <v>1968.162</v>
      </c>
    </row>
    <row r="45" spans="1:15" ht="16.5" x14ac:dyDescent="0.2">
      <c r="A45" s="23" t="s">
        <v>35</v>
      </c>
      <c r="B45" s="99">
        <v>1585.2</v>
      </c>
      <c r="C45" s="99">
        <v>1545</v>
      </c>
      <c r="D45" s="99">
        <f>F45*1000/C45</f>
        <v>4135.46925566343</v>
      </c>
      <c r="E45" s="99">
        <f>O44</f>
        <v>1968.162</v>
      </c>
      <c r="F45" s="99">
        <v>6389.3</v>
      </c>
      <c r="G45" s="102">
        <v>115</v>
      </c>
      <c r="H45" s="99">
        <f>SUM(E45:G45)</f>
        <v>8472.4619999999995</v>
      </c>
      <c r="I45" s="99"/>
      <c r="J45" s="99">
        <v>3390.7559999999999</v>
      </c>
      <c r="K45" s="99">
        <v>875</v>
      </c>
      <c r="L45" s="102">
        <v>660.30500000000006</v>
      </c>
      <c r="M45" s="102">
        <v>1215</v>
      </c>
      <c r="N45" s="99">
        <f>H45-O45</f>
        <v>6141.0613826135996</v>
      </c>
      <c r="O45" s="99">
        <v>2331.4006173864</v>
      </c>
    </row>
    <row r="46" spans="1:15" ht="16.5" x14ac:dyDescent="0.2">
      <c r="A46" s="17" t="s">
        <v>36</v>
      </c>
      <c r="B46" s="103">
        <v>1571</v>
      </c>
      <c r="C46" s="103">
        <v>1508.1599999999999</v>
      </c>
      <c r="D46" s="103">
        <f>F46*1000/C46</f>
        <v>4150.7532357309574</v>
      </c>
      <c r="E46" s="103">
        <f>O45</f>
        <v>2331.4006173864</v>
      </c>
      <c r="F46" s="103">
        <v>6260</v>
      </c>
      <c r="G46" s="106">
        <v>110</v>
      </c>
      <c r="H46" s="103">
        <f>SUM(E46:G46)</f>
        <v>8701.4006173864</v>
      </c>
      <c r="I46" s="103"/>
      <c r="J46" s="103">
        <v>3437.6179999999999</v>
      </c>
      <c r="K46" s="103">
        <v>876.40000000000009</v>
      </c>
      <c r="L46" s="106">
        <v>824.25</v>
      </c>
      <c r="M46" s="106">
        <v>1250</v>
      </c>
      <c r="N46" s="103">
        <f>H46-O46</f>
        <v>6388.2679104288836</v>
      </c>
      <c r="O46" s="103">
        <v>2313.1327069575163</v>
      </c>
    </row>
    <row r="47" spans="1:15" ht="16.5" x14ac:dyDescent="0.2">
      <c r="A47" s="58" t="s">
        <v>84</v>
      </c>
      <c r="B47" s="19"/>
      <c r="C47" s="98"/>
      <c r="D47" s="98"/>
      <c r="E47" s="98"/>
      <c r="F47" s="98"/>
      <c r="G47" s="98"/>
      <c r="H47" s="98"/>
      <c r="I47" s="19"/>
      <c r="J47" s="19"/>
      <c r="K47" s="19"/>
      <c r="L47" s="19"/>
      <c r="M47" s="19"/>
      <c r="N47" s="19"/>
      <c r="O47" s="19"/>
    </row>
    <row r="48" spans="1:15" ht="14.25" x14ac:dyDescent="0.2">
      <c r="A48" s="19" t="s">
        <v>95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25" x14ac:dyDescent="0.2">
      <c r="A49" s="19" t="s">
        <v>86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4.25" x14ac:dyDescent="0.2">
      <c r="A50" s="25" t="s">
        <v>56</v>
      </c>
      <c r="B50" s="112">
        <f ca="1">NOW()</f>
        <v>44725.649194097219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44.45" customHeight="1" x14ac:dyDescent="0.2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</row>
    <row r="52" spans="1:15" ht="15.75" x14ac:dyDescent="0.25">
      <c r="G52" s="84"/>
      <c r="H52" s="84"/>
    </row>
    <row r="53" spans="1:15" ht="15.75" x14ac:dyDescent="0.25">
      <c r="G53" s="84"/>
      <c r="H53" s="84"/>
    </row>
    <row r="54" spans="1:15" ht="15.75" x14ac:dyDescent="0.25">
      <c r="G54" s="84"/>
      <c r="H54" s="84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12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5"/>
  <sheetViews>
    <sheetView showGridLines="0" zoomScale="70" zoomScaleNormal="70" workbookViewId="0"/>
  </sheetViews>
  <sheetFormatPr defaultColWidth="9.140625" defaultRowHeight="12.75" x14ac:dyDescent="0.2"/>
  <cols>
    <col min="1" max="1" width="11.7109375" style="18" customWidth="1"/>
    <col min="2" max="2" width="18.85546875" style="18" bestFit="1" customWidth="1"/>
    <col min="3" max="3" width="22.140625" style="18" bestFit="1" customWidth="1"/>
    <col min="4" max="5" width="25.7109375" style="18" bestFit="1" customWidth="1"/>
    <col min="6" max="6" width="16.7109375" style="18" bestFit="1" customWidth="1"/>
    <col min="7" max="7" width="18.85546875" style="18" bestFit="1" customWidth="1"/>
    <col min="8" max="16384" width="9.140625" style="18"/>
  </cols>
  <sheetData>
    <row r="1" spans="1:8" ht="15.6" customHeight="1" x14ac:dyDescent="0.2">
      <c r="A1" s="17" t="s">
        <v>8</v>
      </c>
      <c r="B1" s="17"/>
      <c r="C1" s="17"/>
      <c r="D1" s="17"/>
      <c r="E1" s="17"/>
      <c r="F1" s="17"/>
      <c r="G1" s="17"/>
      <c r="H1" s="59"/>
    </row>
    <row r="2" spans="1:8" ht="15.6" customHeight="1" x14ac:dyDescent="0.2">
      <c r="A2" s="23" t="s">
        <v>96</v>
      </c>
      <c r="B2" s="40" t="s">
        <v>97</v>
      </c>
      <c r="C2" s="40" t="s">
        <v>98</v>
      </c>
      <c r="D2" s="40" t="s">
        <v>99</v>
      </c>
      <c r="E2" s="40" t="s">
        <v>100</v>
      </c>
      <c r="F2" s="40" t="s">
        <v>101</v>
      </c>
      <c r="G2" s="40" t="s">
        <v>102</v>
      </c>
      <c r="H2" s="59"/>
    </row>
    <row r="3" spans="1:8" ht="15.6" customHeight="1" x14ac:dyDescent="0.2">
      <c r="A3" s="17" t="s">
        <v>103</v>
      </c>
      <c r="B3" s="29"/>
      <c r="C3" s="65"/>
      <c r="D3" s="65"/>
      <c r="E3" s="65"/>
      <c r="F3" s="65"/>
      <c r="G3" s="65"/>
      <c r="H3" s="59"/>
    </row>
    <row r="4" spans="1:8" ht="14.25" x14ac:dyDescent="0.2">
      <c r="A4" s="66"/>
      <c r="B4" s="67" t="s">
        <v>104</v>
      </c>
      <c r="C4" s="67" t="s">
        <v>105</v>
      </c>
      <c r="D4" s="67" t="s">
        <v>106</v>
      </c>
      <c r="E4" s="67" t="s">
        <v>106</v>
      </c>
      <c r="F4" s="67" t="s">
        <v>107</v>
      </c>
      <c r="G4" s="67" t="s">
        <v>104</v>
      </c>
      <c r="H4" s="59"/>
    </row>
    <row r="5" spans="1:8" ht="14.25" x14ac:dyDescent="0.2">
      <c r="A5" s="19"/>
      <c r="B5" s="19"/>
      <c r="C5" s="19"/>
      <c r="D5" s="21"/>
      <c r="E5" s="19"/>
      <c r="F5" s="19"/>
      <c r="G5" s="19"/>
      <c r="H5" s="59"/>
    </row>
    <row r="6" spans="1:8" ht="14.25" x14ac:dyDescent="0.2">
      <c r="A6" s="19" t="s">
        <v>108</v>
      </c>
      <c r="B6" s="68">
        <v>11.3</v>
      </c>
      <c r="C6" s="68">
        <v>161</v>
      </c>
      <c r="D6" s="68">
        <v>23.3</v>
      </c>
      <c r="E6" s="68">
        <v>19.3</v>
      </c>
      <c r="F6" s="68">
        <v>22.5</v>
      </c>
      <c r="G6" s="68">
        <v>12.2</v>
      </c>
      <c r="H6" s="59"/>
    </row>
    <row r="7" spans="1:8" ht="14.25" x14ac:dyDescent="0.2">
      <c r="A7" s="19" t="s">
        <v>109</v>
      </c>
      <c r="B7" s="68">
        <v>12.5</v>
      </c>
      <c r="C7" s="68">
        <v>260</v>
      </c>
      <c r="D7" s="68">
        <v>29.1</v>
      </c>
      <c r="E7" s="68">
        <v>24</v>
      </c>
      <c r="F7" s="68">
        <v>31.8</v>
      </c>
      <c r="G7" s="68">
        <v>13.9</v>
      </c>
      <c r="H7" s="59"/>
    </row>
    <row r="8" spans="1:8" ht="14.25" x14ac:dyDescent="0.2">
      <c r="A8" s="19" t="s">
        <v>110</v>
      </c>
      <c r="B8" s="68">
        <v>14.4</v>
      </c>
      <c r="C8" s="68">
        <v>252</v>
      </c>
      <c r="D8" s="68">
        <v>25.4</v>
      </c>
      <c r="E8" s="68">
        <v>26.5</v>
      </c>
      <c r="F8" s="68">
        <v>30.1</v>
      </c>
      <c r="G8" s="68">
        <v>13.8</v>
      </c>
      <c r="H8" s="59"/>
    </row>
    <row r="9" spans="1:8" ht="14.25" x14ac:dyDescent="0.2">
      <c r="A9" s="19" t="s">
        <v>111</v>
      </c>
      <c r="B9" s="68">
        <v>13</v>
      </c>
      <c r="C9" s="68">
        <v>246</v>
      </c>
      <c r="D9" s="68">
        <v>21.4</v>
      </c>
      <c r="E9" s="68">
        <v>20.6</v>
      </c>
      <c r="F9" s="68">
        <v>24.9</v>
      </c>
      <c r="G9" s="68">
        <v>13.8</v>
      </c>
      <c r="H9" s="59"/>
    </row>
    <row r="10" spans="1:8" ht="14.25" x14ac:dyDescent="0.2">
      <c r="A10" s="19" t="s">
        <v>112</v>
      </c>
      <c r="B10" s="68">
        <v>10.1</v>
      </c>
      <c r="C10" s="68">
        <v>194</v>
      </c>
      <c r="D10" s="68">
        <v>21.7</v>
      </c>
      <c r="E10" s="68">
        <v>16.899999999999999</v>
      </c>
      <c r="F10" s="68">
        <v>22</v>
      </c>
      <c r="G10" s="68">
        <v>11.8</v>
      </c>
      <c r="H10" s="59"/>
    </row>
    <row r="11" spans="1:8" ht="14.25" x14ac:dyDescent="0.2">
      <c r="A11" s="19" t="s">
        <v>113</v>
      </c>
      <c r="B11" s="68">
        <v>8.9499999999999993</v>
      </c>
      <c r="C11" s="68">
        <v>227</v>
      </c>
      <c r="D11" s="68">
        <v>19.600000000000001</v>
      </c>
      <c r="E11" s="68">
        <v>15.6</v>
      </c>
      <c r="F11" s="68">
        <v>19.3</v>
      </c>
      <c r="G11" s="68">
        <v>8.9499999999999993</v>
      </c>
      <c r="H11" s="59"/>
    </row>
    <row r="12" spans="1:8" ht="14.25" x14ac:dyDescent="0.2">
      <c r="A12" s="19" t="s">
        <v>114</v>
      </c>
      <c r="B12" s="68">
        <v>9.4700000000000006</v>
      </c>
      <c r="C12" s="68">
        <v>195</v>
      </c>
      <c r="D12" s="68">
        <v>17.399999999999999</v>
      </c>
      <c r="E12" s="68">
        <v>16.600000000000001</v>
      </c>
      <c r="F12" s="68">
        <v>19.7</v>
      </c>
      <c r="G12" s="68">
        <v>8</v>
      </c>
      <c r="H12" s="59"/>
    </row>
    <row r="13" spans="1:8" ht="14.25" x14ac:dyDescent="0.2">
      <c r="A13" s="19" t="s">
        <v>115</v>
      </c>
      <c r="B13" s="68">
        <v>9.33</v>
      </c>
      <c r="C13" s="68">
        <v>142</v>
      </c>
      <c r="D13" s="68">
        <v>17.2</v>
      </c>
      <c r="E13" s="68">
        <v>17.5</v>
      </c>
      <c r="F13" s="68">
        <v>22.9</v>
      </c>
      <c r="G13" s="68">
        <v>9.5299999999999994</v>
      </c>
      <c r="H13" s="59"/>
    </row>
    <row r="14" spans="1:8" ht="14.25" x14ac:dyDescent="0.2">
      <c r="A14" s="19" t="s">
        <v>116</v>
      </c>
      <c r="B14" s="68">
        <v>8.48</v>
      </c>
      <c r="C14" s="68">
        <v>155</v>
      </c>
      <c r="D14" s="68">
        <v>17.399999999999999</v>
      </c>
      <c r="E14" s="68">
        <v>15.8</v>
      </c>
      <c r="F14" s="68">
        <v>21.5</v>
      </c>
      <c r="G14" s="68">
        <v>9.89</v>
      </c>
      <c r="H14" s="59"/>
    </row>
    <row r="15" spans="1:8" ht="14.25" x14ac:dyDescent="0.2">
      <c r="A15" s="19" t="s">
        <v>117</v>
      </c>
      <c r="B15" s="68">
        <v>8.57</v>
      </c>
      <c r="C15" s="68">
        <v>161</v>
      </c>
      <c r="D15" s="68">
        <v>19.5</v>
      </c>
      <c r="E15" s="68">
        <v>14.8</v>
      </c>
      <c r="F15" s="68">
        <v>20.5</v>
      </c>
      <c r="G15" s="68">
        <v>9.15</v>
      </c>
      <c r="H15" s="59"/>
    </row>
    <row r="16" spans="1:8" ht="14.25" x14ac:dyDescent="0.2">
      <c r="A16" s="19" t="s">
        <v>34</v>
      </c>
      <c r="B16" s="68">
        <v>10.8</v>
      </c>
      <c r="C16" s="68">
        <v>194</v>
      </c>
      <c r="D16" s="68">
        <v>21.3</v>
      </c>
      <c r="E16" s="68">
        <v>18.400000000000002</v>
      </c>
      <c r="F16" s="68">
        <v>21</v>
      </c>
      <c r="G16" s="68">
        <v>11.102000000000002</v>
      </c>
      <c r="H16" s="59"/>
    </row>
    <row r="17" spans="1:8" ht="16.5" x14ac:dyDescent="0.2">
      <c r="A17" s="19" t="s">
        <v>118</v>
      </c>
      <c r="B17" s="68">
        <v>13.35</v>
      </c>
      <c r="C17" s="68">
        <v>242</v>
      </c>
      <c r="D17" s="68">
        <v>32.5</v>
      </c>
      <c r="E17" s="68">
        <v>33.1</v>
      </c>
      <c r="F17" s="68">
        <v>24.2</v>
      </c>
      <c r="G17" s="68">
        <v>26.807200000000005</v>
      </c>
      <c r="H17" s="59"/>
    </row>
    <row r="18" spans="1:8" ht="16.5" x14ac:dyDescent="0.2">
      <c r="A18" s="19" t="s">
        <v>119</v>
      </c>
      <c r="B18" s="68">
        <v>14.7</v>
      </c>
      <c r="C18" s="68">
        <v>224</v>
      </c>
      <c r="D18" s="68">
        <v>34.800000000000004</v>
      </c>
      <c r="E18" s="68">
        <v>35</v>
      </c>
      <c r="F18" s="68">
        <v>24.5</v>
      </c>
      <c r="G18" s="68">
        <v>24.64</v>
      </c>
      <c r="H18" s="59"/>
    </row>
    <row r="19" spans="1:8" ht="14.25" x14ac:dyDescent="0.2">
      <c r="A19" s="23"/>
      <c r="B19" s="69"/>
      <c r="C19" s="70"/>
      <c r="D19" s="71"/>
      <c r="E19" s="71"/>
      <c r="F19" s="72"/>
      <c r="G19" s="73"/>
      <c r="H19" s="60"/>
    </row>
    <row r="20" spans="1:8" ht="15" x14ac:dyDescent="0.25">
      <c r="A20" s="74" t="s">
        <v>34</v>
      </c>
      <c r="B20" s="68"/>
      <c r="C20" s="68"/>
      <c r="D20" s="68"/>
      <c r="E20" s="68"/>
      <c r="F20" s="68"/>
      <c r="G20" s="68"/>
    </row>
    <row r="21" spans="1:8" ht="14.25" x14ac:dyDescent="0.2">
      <c r="A21" s="23" t="s">
        <v>37</v>
      </c>
      <c r="B21" s="68">
        <v>9.24</v>
      </c>
      <c r="C21" s="68">
        <v>164</v>
      </c>
      <c r="D21" s="68">
        <v>23.7</v>
      </c>
      <c r="E21" s="68">
        <v>16.399999999999999</v>
      </c>
      <c r="F21" s="68">
        <v>20.5</v>
      </c>
      <c r="G21" s="68">
        <v>9.64</v>
      </c>
    </row>
    <row r="22" spans="1:8" ht="14.25" x14ac:dyDescent="0.2">
      <c r="A22" s="23" t="s">
        <v>38</v>
      </c>
      <c r="B22" s="68">
        <v>9.6300000000000008</v>
      </c>
      <c r="C22" s="68">
        <v>189</v>
      </c>
      <c r="D22" s="68">
        <v>19.100000000000001</v>
      </c>
      <c r="E22" s="68">
        <v>16.2</v>
      </c>
      <c r="F22" s="68">
        <v>20.9</v>
      </c>
      <c r="G22" s="68">
        <v>9.76</v>
      </c>
    </row>
    <row r="23" spans="1:8" ht="14.25" x14ac:dyDescent="0.2">
      <c r="A23" s="23" t="s">
        <v>39</v>
      </c>
      <c r="B23" s="68">
        <v>10.3</v>
      </c>
      <c r="C23" s="68">
        <v>199</v>
      </c>
      <c r="D23" s="68">
        <v>18.899999999999999</v>
      </c>
      <c r="E23" s="68">
        <v>18.100000000000001</v>
      </c>
      <c r="F23" s="68">
        <v>21.2</v>
      </c>
      <c r="G23" s="68">
        <v>10.7</v>
      </c>
    </row>
    <row r="24" spans="1:8" ht="14.25" x14ac:dyDescent="0.2">
      <c r="A24" s="23" t="s">
        <v>41</v>
      </c>
      <c r="B24" s="68">
        <v>10.6</v>
      </c>
      <c r="C24" s="68">
        <v>195</v>
      </c>
      <c r="D24" s="68">
        <v>19.2</v>
      </c>
      <c r="E24" s="68">
        <v>17.2</v>
      </c>
      <c r="F24" s="68">
        <v>20.399999999999999</v>
      </c>
      <c r="G24" s="68">
        <v>10.9</v>
      </c>
    </row>
    <row r="25" spans="1:8" ht="14.25" x14ac:dyDescent="0.2">
      <c r="A25" s="23" t="s">
        <v>42</v>
      </c>
      <c r="B25" s="68">
        <v>10.9</v>
      </c>
      <c r="C25" s="68">
        <v>209</v>
      </c>
      <c r="D25" s="68">
        <v>19.5</v>
      </c>
      <c r="E25" s="68">
        <v>18.8</v>
      </c>
      <c r="F25" s="68">
        <v>20.5</v>
      </c>
      <c r="G25" s="68">
        <v>12</v>
      </c>
    </row>
    <row r="26" spans="1:8" ht="14.25" x14ac:dyDescent="0.2">
      <c r="A26" s="23" t="s">
        <v>43</v>
      </c>
      <c r="B26" s="68">
        <v>12.7</v>
      </c>
      <c r="C26" s="68">
        <v>185</v>
      </c>
      <c r="D26" s="68">
        <v>21.4</v>
      </c>
      <c r="E26" s="68">
        <v>20.399999999999999</v>
      </c>
      <c r="F26" s="68">
        <v>20.5</v>
      </c>
      <c r="G26" s="68">
        <v>13.2</v>
      </c>
    </row>
    <row r="27" spans="1:8" ht="14.25" x14ac:dyDescent="0.2">
      <c r="A27" s="23" t="s">
        <v>45</v>
      </c>
      <c r="B27" s="68">
        <v>13.2</v>
      </c>
      <c r="C27" s="68" t="s">
        <v>75</v>
      </c>
      <c r="D27" s="68">
        <v>21.5</v>
      </c>
      <c r="E27" s="68">
        <v>22</v>
      </c>
      <c r="F27" s="68">
        <v>21.2</v>
      </c>
      <c r="G27" s="68">
        <v>15.7</v>
      </c>
    </row>
    <row r="28" spans="1:8" ht="14.25" x14ac:dyDescent="0.2">
      <c r="A28" s="23" t="s">
        <v>46</v>
      </c>
      <c r="B28" s="68">
        <v>13.9</v>
      </c>
      <c r="C28" s="68" t="s">
        <v>75</v>
      </c>
      <c r="D28" s="68">
        <v>23.7</v>
      </c>
      <c r="E28" s="68">
        <v>23.8</v>
      </c>
      <c r="F28" s="68">
        <v>21.4</v>
      </c>
      <c r="G28" s="68">
        <v>18.100000000000001</v>
      </c>
    </row>
    <row r="29" spans="1:8" ht="14.25" x14ac:dyDescent="0.2">
      <c r="A29" s="23" t="s">
        <v>47</v>
      </c>
      <c r="B29" s="68">
        <v>14.8</v>
      </c>
      <c r="C29" s="68" t="s">
        <v>75</v>
      </c>
      <c r="D29" s="68">
        <v>26.4</v>
      </c>
      <c r="E29" s="68">
        <v>26.1</v>
      </c>
      <c r="F29" s="68">
        <v>21.3</v>
      </c>
      <c r="G29" s="68">
        <v>18.3</v>
      </c>
    </row>
    <row r="30" spans="1:8" ht="14.25" x14ac:dyDescent="0.2">
      <c r="A30" s="23" t="s">
        <v>49</v>
      </c>
      <c r="B30" s="68">
        <v>14.5</v>
      </c>
      <c r="C30" s="68" t="s">
        <v>75</v>
      </c>
      <c r="D30" s="68">
        <v>28.4</v>
      </c>
      <c r="E30" s="68">
        <v>26</v>
      </c>
      <c r="F30" s="68">
        <v>21.3</v>
      </c>
      <c r="G30" s="68">
        <v>19.899999999999999</v>
      </c>
    </row>
    <row r="31" spans="1:8" ht="14.25" x14ac:dyDescent="0.2">
      <c r="A31" s="23" t="s">
        <v>50</v>
      </c>
      <c r="B31" s="68">
        <v>14.1</v>
      </c>
      <c r="C31" s="68" t="s">
        <v>75</v>
      </c>
      <c r="D31" s="68">
        <v>28</v>
      </c>
      <c r="E31" s="68">
        <v>27.7</v>
      </c>
      <c r="F31" s="68">
        <v>21.6</v>
      </c>
      <c r="G31" s="68">
        <v>20.100000000000001</v>
      </c>
    </row>
    <row r="32" spans="1:8" ht="14.25" x14ac:dyDescent="0.2">
      <c r="A32" s="23" t="s">
        <v>51</v>
      </c>
      <c r="B32" s="68">
        <v>13.7</v>
      </c>
      <c r="C32" s="68">
        <v>255</v>
      </c>
      <c r="D32" s="68">
        <v>29.4</v>
      </c>
      <c r="E32" s="68">
        <v>30.9</v>
      </c>
      <c r="F32" s="68">
        <v>21.3</v>
      </c>
      <c r="G32" s="68">
        <v>20.2</v>
      </c>
    </row>
    <row r="33" spans="1:7" ht="14.25" x14ac:dyDescent="0.2">
      <c r="A33" s="23"/>
      <c r="B33" s="132"/>
      <c r="C33" s="132"/>
      <c r="D33" s="132"/>
      <c r="E33" s="132"/>
      <c r="F33" s="132"/>
      <c r="G33" s="132"/>
    </row>
    <row r="34" spans="1:7" ht="15" x14ac:dyDescent="0.25">
      <c r="A34" s="74" t="s">
        <v>53</v>
      </c>
      <c r="B34" s="68"/>
      <c r="C34" s="68"/>
      <c r="D34" s="68"/>
      <c r="E34" s="68"/>
      <c r="F34" s="68"/>
      <c r="G34" s="68"/>
    </row>
    <row r="35" spans="1:7" ht="14.25" x14ac:dyDescent="0.2">
      <c r="A35" s="23" t="s">
        <v>37</v>
      </c>
      <c r="B35" s="68">
        <v>12.2</v>
      </c>
      <c r="C35" s="68">
        <v>235</v>
      </c>
      <c r="D35" s="68">
        <v>30.7</v>
      </c>
      <c r="E35" s="68">
        <v>28.7</v>
      </c>
      <c r="F35" s="68">
        <v>22.3</v>
      </c>
      <c r="G35" s="68">
        <v>19.8</v>
      </c>
    </row>
    <row r="36" spans="1:7" ht="14.25" x14ac:dyDescent="0.2">
      <c r="A36" s="23" t="s">
        <v>38</v>
      </c>
      <c r="B36" s="68">
        <v>11.9</v>
      </c>
      <c r="C36" s="68">
        <v>244</v>
      </c>
      <c r="D36" s="68">
        <v>30.5</v>
      </c>
      <c r="E36" s="68">
        <v>29.5</v>
      </c>
      <c r="F36" s="68">
        <v>24</v>
      </c>
      <c r="G36" s="68">
        <v>25.1</v>
      </c>
    </row>
    <row r="37" spans="1:7" ht="14.25" x14ac:dyDescent="0.2">
      <c r="A37" s="23" t="s">
        <v>39</v>
      </c>
      <c r="B37" s="68">
        <v>12.2</v>
      </c>
      <c r="C37" s="68">
        <v>244</v>
      </c>
      <c r="D37" s="68">
        <v>30.2</v>
      </c>
      <c r="E37" s="68">
        <v>31.7</v>
      </c>
      <c r="F37" s="68">
        <v>25.4</v>
      </c>
      <c r="G37" s="68">
        <v>26.1</v>
      </c>
    </row>
    <row r="38" spans="1:7" ht="14.25" x14ac:dyDescent="0.2">
      <c r="A38" s="23" t="s">
        <v>41</v>
      </c>
      <c r="B38" s="68">
        <v>12.5</v>
      </c>
      <c r="C38" s="68">
        <v>239</v>
      </c>
      <c r="D38" s="68">
        <v>31.7</v>
      </c>
      <c r="E38" s="68">
        <v>32.5</v>
      </c>
      <c r="F38" s="68">
        <v>24</v>
      </c>
      <c r="G38" s="68">
        <v>31.4</v>
      </c>
    </row>
    <row r="39" spans="1:7" ht="14.25" x14ac:dyDescent="0.2">
      <c r="A39" s="23" t="s">
        <v>42</v>
      </c>
      <c r="B39" s="68">
        <v>12.9</v>
      </c>
      <c r="C39" s="68">
        <v>241</v>
      </c>
      <c r="D39" s="68">
        <v>31</v>
      </c>
      <c r="E39" s="68">
        <v>33.700000000000003</v>
      </c>
      <c r="F39" s="68">
        <v>26.1</v>
      </c>
      <c r="G39" s="68">
        <v>31</v>
      </c>
    </row>
    <row r="40" spans="1:7" ht="14.25" x14ac:dyDescent="0.2">
      <c r="A40" s="23" t="s">
        <v>43</v>
      </c>
      <c r="B40" s="68">
        <v>14.8</v>
      </c>
      <c r="C40" s="68">
        <v>255</v>
      </c>
      <c r="D40" s="68">
        <v>32.1</v>
      </c>
      <c r="E40" s="68">
        <v>37</v>
      </c>
      <c r="F40" s="68">
        <v>24.5</v>
      </c>
      <c r="G40" s="68">
        <v>31.1</v>
      </c>
    </row>
    <row r="41" spans="1:7" ht="14.25" x14ac:dyDescent="0.2">
      <c r="A41" s="23" t="s">
        <v>45</v>
      </c>
      <c r="B41" s="68">
        <v>15.4</v>
      </c>
      <c r="C41" s="68" t="s">
        <v>75</v>
      </c>
      <c r="D41" s="68">
        <v>33.9</v>
      </c>
      <c r="E41" s="68">
        <v>39.1</v>
      </c>
      <c r="F41" s="68">
        <v>25</v>
      </c>
      <c r="G41" s="68">
        <v>29.1</v>
      </c>
    </row>
    <row r="42" spans="1:7" ht="14.25" x14ac:dyDescent="0.2">
      <c r="A42" s="17" t="s">
        <v>46</v>
      </c>
      <c r="B42" s="16">
        <v>15.8</v>
      </c>
      <c r="C42" s="16" t="s">
        <v>75</v>
      </c>
      <c r="D42" s="16">
        <v>37.1</v>
      </c>
      <c r="E42" s="16">
        <v>41.3</v>
      </c>
      <c r="F42" s="16">
        <v>24.7</v>
      </c>
      <c r="G42" s="16">
        <v>30.3</v>
      </c>
    </row>
    <row r="43" spans="1:7" ht="16.5" x14ac:dyDescent="0.2">
      <c r="A43" s="19" t="s">
        <v>120</v>
      </c>
      <c r="B43" s="19"/>
      <c r="C43" s="19"/>
      <c r="D43" s="19"/>
      <c r="E43" s="19"/>
      <c r="F43" s="19"/>
      <c r="G43" s="19"/>
    </row>
    <row r="44" spans="1:7" ht="14.25" x14ac:dyDescent="0.2">
      <c r="A44" s="19" t="s">
        <v>121</v>
      </c>
      <c r="B44" s="19"/>
      <c r="C44" s="19"/>
      <c r="D44" s="19"/>
      <c r="E44" s="19"/>
      <c r="F44" s="19"/>
      <c r="G44" s="19"/>
    </row>
    <row r="45" spans="1:7" ht="14.25" x14ac:dyDescent="0.2">
      <c r="A45" s="25" t="s">
        <v>56</v>
      </c>
      <c r="B45" s="50">
        <f ca="1">NOW()</f>
        <v>44725.649194097219</v>
      </c>
      <c r="C45" s="19"/>
      <c r="D45" s="19"/>
      <c r="E45" s="19"/>
      <c r="F45" s="19"/>
      <c r="G45" s="19"/>
    </row>
  </sheetData>
  <phoneticPr fontId="12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N66"/>
  <sheetViews>
    <sheetView showGridLines="0" zoomScale="70" zoomScaleNormal="70" workbookViewId="0"/>
  </sheetViews>
  <sheetFormatPr defaultColWidth="9.140625" defaultRowHeight="12.75" x14ac:dyDescent="0.2"/>
  <cols>
    <col min="1" max="2" width="11.7109375" style="18" customWidth="1"/>
    <col min="3" max="3" width="11.5703125" style="18" customWidth="1"/>
    <col min="4" max="4" width="13.7109375" style="18" customWidth="1"/>
    <col min="5" max="5" width="11.7109375" style="18" customWidth="1"/>
    <col min="6" max="6" width="11.5703125" style="18" bestFit="1" customWidth="1"/>
    <col min="7" max="7" width="10.7109375" style="18" customWidth="1"/>
    <col min="8" max="8" width="12" style="18" customWidth="1"/>
    <col min="9" max="9" width="13.42578125" style="18" customWidth="1"/>
    <col min="10" max="16384" width="9.140625" style="18"/>
  </cols>
  <sheetData>
    <row r="1" spans="1:9" ht="14.25" x14ac:dyDescent="0.2">
      <c r="A1" s="17" t="s">
        <v>9</v>
      </c>
      <c r="B1" s="17"/>
      <c r="C1" s="17"/>
      <c r="D1" s="17"/>
      <c r="E1" s="17"/>
      <c r="F1" s="17"/>
      <c r="G1" s="17"/>
      <c r="H1" s="17"/>
      <c r="I1" s="19"/>
    </row>
    <row r="2" spans="1:9" ht="15.6" customHeight="1" x14ac:dyDescent="0.2">
      <c r="A2" s="75" t="s">
        <v>96</v>
      </c>
      <c r="B2" s="40" t="s">
        <v>122</v>
      </c>
      <c r="C2" s="40" t="s">
        <v>123</v>
      </c>
      <c r="D2" s="40" t="s">
        <v>124</v>
      </c>
      <c r="E2" s="76" t="s">
        <v>125</v>
      </c>
      <c r="F2" s="76" t="s">
        <v>126</v>
      </c>
      <c r="G2" s="40" t="s">
        <v>127</v>
      </c>
      <c r="H2" s="40" t="s">
        <v>128</v>
      </c>
      <c r="I2" s="77" t="s">
        <v>129</v>
      </c>
    </row>
    <row r="3" spans="1:9" ht="15.6" customHeight="1" x14ac:dyDescent="0.2">
      <c r="A3" s="78" t="s">
        <v>103</v>
      </c>
      <c r="B3" s="28" t="s">
        <v>130</v>
      </c>
      <c r="C3" s="28" t="s">
        <v>131</v>
      </c>
      <c r="D3" s="28" t="s">
        <v>132</v>
      </c>
      <c r="E3" s="28" t="s">
        <v>132</v>
      </c>
      <c r="F3" s="28" t="s">
        <v>133</v>
      </c>
      <c r="G3" s="28" t="s">
        <v>134</v>
      </c>
      <c r="H3" s="28"/>
      <c r="I3" s="28" t="s">
        <v>135</v>
      </c>
    </row>
    <row r="4" spans="1:9" ht="14.25" x14ac:dyDescent="0.2">
      <c r="A4" s="79" t="s">
        <v>136</v>
      </c>
      <c r="C4" s="80"/>
      <c r="D4" s="80"/>
      <c r="E4" s="80"/>
      <c r="F4" s="80"/>
      <c r="G4" s="80"/>
      <c r="H4" s="80"/>
      <c r="I4" s="80"/>
    </row>
    <row r="5" spans="1:9" ht="14.25" x14ac:dyDescent="0.2">
      <c r="A5" s="19"/>
      <c r="B5" s="19"/>
      <c r="C5" s="19"/>
      <c r="D5" s="19"/>
      <c r="E5" s="19"/>
      <c r="F5" s="19"/>
      <c r="G5" s="19"/>
      <c r="H5" s="19"/>
      <c r="I5" s="19"/>
    </row>
    <row r="6" spans="1:9" ht="14.25" x14ac:dyDescent="0.2">
      <c r="A6" s="19" t="s">
        <v>108</v>
      </c>
      <c r="B6" s="68">
        <v>53.2</v>
      </c>
      <c r="C6" s="68">
        <v>54.5</v>
      </c>
      <c r="D6" s="68">
        <v>86.12</v>
      </c>
      <c r="E6" s="68">
        <v>58.68</v>
      </c>
      <c r="F6" s="68">
        <v>77.239999999999995</v>
      </c>
      <c r="G6" s="68">
        <v>60.76</v>
      </c>
      <c r="H6" s="68">
        <v>51.52</v>
      </c>
      <c r="I6" s="68">
        <v>51.34</v>
      </c>
    </row>
    <row r="7" spans="1:9" ht="14.25" x14ac:dyDescent="0.2">
      <c r="A7" s="19" t="s">
        <v>109</v>
      </c>
      <c r="B7" s="68">
        <v>51.9</v>
      </c>
      <c r="C7" s="68">
        <v>53.22</v>
      </c>
      <c r="D7" s="68">
        <v>83.2</v>
      </c>
      <c r="E7" s="68">
        <v>57.19</v>
      </c>
      <c r="F7" s="68">
        <v>100.15</v>
      </c>
      <c r="G7" s="68">
        <v>56.09</v>
      </c>
      <c r="H7" s="68">
        <v>48.11</v>
      </c>
      <c r="I7" s="68">
        <v>50.33</v>
      </c>
    </row>
    <row r="8" spans="1:9" ht="14.25" x14ac:dyDescent="0.2">
      <c r="A8" s="19" t="s">
        <v>110</v>
      </c>
      <c r="B8" s="68">
        <v>47.13</v>
      </c>
      <c r="C8" s="68">
        <v>48.6</v>
      </c>
      <c r="D8" s="68">
        <v>65.87</v>
      </c>
      <c r="E8" s="68">
        <v>56.17</v>
      </c>
      <c r="F8" s="68">
        <v>91.83</v>
      </c>
      <c r="G8" s="68">
        <v>46.66</v>
      </c>
      <c r="H8" s="68">
        <v>51.8</v>
      </c>
      <c r="I8" s="68">
        <v>43.24</v>
      </c>
    </row>
    <row r="9" spans="1:9" ht="14.25" x14ac:dyDescent="0.2">
      <c r="A9" s="19" t="s">
        <v>111</v>
      </c>
      <c r="B9" s="68">
        <v>38.229999999999997</v>
      </c>
      <c r="C9" s="68">
        <v>60.66</v>
      </c>
      <c r="D9" s="68">
        <v>59.12</v>
      </c>
      <c r="E9" s="68">
        <v>43.7</v>
      </c>
      <c r="F9" s="68">
        <v>68.23</v>
      </c>
      <c r="G9" s="68">
        <v>39.43</v>
      </c>
      <c r="H9" s="68">
        <v>43.93</v>
      </c>
      <c r="I9" s="68">
        <v>39.76</v>
      </c>
    </row>
    <row r="10" spans="1:9" ht="14.25" x14ac:dyDescent="0.2">
      <c r="A10" s="19" t="s">
        <v>112</v>
      </c>
      <c r="B10" s="68">
        <v>31.6</v>
      </c>
      <c r="C10" s="68">
        <v>45.74</v>
      </c>
      <c r="D10" s="68">
        <v>66.72</v>
      </c>
      <c r="E10" s="68">
        <v>37.81</v>
      </c>
      <c r="F10" s="68">
        <v>57.96</v>
      </c>
      <c r="G10" s="68">
        <v>37.479999999999997</v>
      </c>
      <c r="H10" s="68">
        <v>33.43</v>
      </c>
      <c r="I10" s="68">
        <v>31.36</v>
      </c>
    </row>
    <row r="11" spans="1:9" ht="14.25" x14ac:dyDescent="0.2">
      <c r="A11" s="19" t="s">
        <v>113</v>
      </c>
      <c r="B11" s="68">
        <v>29.86</v>
      </c>
      <c r="C11" s="68">
        <v>45.87</v>
      </c>
      <c r="D11" s="68">
        <v>57.81</v>
      </c>
      <c r="E11" s="68">
        <v>35.270000000000003</v>
      </c>
      <c r="F11" s="68">
        <v>58.26</v>
      </c>
      <c r="G11" s="68">
        <v>39.25</v>
      </c>
      <c r="H11" s="68">
        <v>32.229999999999997</v>
      </c>
      <c r="I11" s="68">
        <v>30.07</v>
      </c>
    </row>
    <row r="12" spans="1:9" ht="14.25" x14ac:dyDescent="0.2">
      <c r="A12" s="19" t="s">
        <v>114</v>
      </c>
      <c r="B12" s="68">
        <v>32.549999999999997</v>
      </c>
      <c r="C12" s="68">
        <v>40.92</v>
      </c>
      <c r="D12" s="68">
        <v>53.54</v>
      </c>
      <c r="E12" s="68">
        <v>38.729999999999997</v>
      </c>
      <c r="F12" s="68">
        <v>66.73</v>
      </c>
      <c r="G12" s="68">
        <v>37.43</v>
      </c>
      <c r="H12" s="68">
        <v>33.07</v>
      </c>
      <c r="I12" s="68">
        <v>34.75</v>
      </c>
    </row>
    <row r="13" spans="1:9" ht="14.25" x14ac:dyDescent="0.2">
      <c r="A13" s="19" t="s">
        <v>115</v>
      </c>
      <c r="B13" s="68">
        <v>30.04</v>
      </c>
      <c r="C13" s="68">
        <v>31.87</v>
      </c>
      <c r="D13" s="68">
        <v>54.57</v>
      </c>
      <c r="E13" s="68">
        <v>38.270000000000003</v>
      </c>
      <c r="F13" s="68">
        <v>66.72</v>
      </c>
      <c r="G13" s="68">
        <v>30.35</v>
      </c>
      <c r="H13" s="68">
        <v>34.159999999999997</v>
      </c>
      <c r="I13" s="68">
        <v>31.21</v>
      </c>
    </row>
    <row r="14" spans="1:9" ht="14.25" x14ac:dyDescent="0.2">
      <c r="A14" s="19" t="s">
        <v>116</v>
      </c>
      <c r="B14" s="68">
        <v>28.26</v>
      </c>
      <c r="C14" s="68">
        <v>35.14</v>
      </c>
      <c r="D14" s="68">
        <v>53.28</v>
      </c>
      <c r="E14" s="68">
        <v>36.090000000000003</v>
      </c>
      <c r="F14" s="68">
        <v>64.72</v>
      </c>
      <c r="G14" s="68">
        <v>26.93</v>
      </c>
      <c r="H14" s="68">
        <v>31.65</v>
      </c>
      <c r="I14" s="68">
        <v>33.11</v>
      </c>
    </row>
    <row r="15" spans="1:9" ht="14.25" x14ac:dyDescent="0.2">
      <c r="A15" s="19" t="s">
        <v>117</v>
      </c>
      <c r="B15" s="68">
        <v>29.65</v>
      </c>
      <c r="C15" s="68">
        <v>40.18</v>
      </c>
      <c r="D15" s="68">
        <v>65.03</v>
      </c>
      <c r="E15" s="68">
        <v>37.869999999999997</v>
      </c>
      <c r="F15" s="68">
        <v>62</v>
      </c>
      <c r="G15" s="68">
        <v>39.47</v>
      </c>
      <c r="H15" s="68">
        <v>35.75</v>
      </c>
      <c r="I15" s="68">
        <v>38.369999999999997</v>
      </c>
    </row>
    <row r="16" spans="1:9" ht="14.25" x14ac:dyDescent="0.2">
      <c r="A16" s="19" t="s">
        <v>34</v>
      </c>
      <c r="B16" s="68">
        <v>56.87</v>
      </c>
      <c r="C16" s="68">
        <v>80.94</v>
      </c>
      <c r="D16" s="68">
        <v>79</v>
      </c>
      <c r="E16" s="68">
        <v>70.459999999999994</v>
      </c>
      <c r="F16" s="68">
        <v>101.4</v>
      </c>
      <c r="G16" s="68">
        <v>53.88</v>
      </c>
      <c r="H16" s="68">
        <v>55.89</v>
      </c>
      <c r="I16" s="68">
        <v>54.98</v>
      </c>
    </row>
    <row r="17" spans="1:14" ht="16.5" x14ac:dyDescent="0.2">
      <c r="A17" s="19" t="s">
        <v>137</v>
      </c>
      <c r="B17" s="68">
        <v>75</v>
      </c>
      <c r="C17" s="68">
        <v>105</v>
      </c>
      <c r="D17" s="68">
        <f>120</f>
        <v>120</v>
      </c>
      <c r="E17" s="68">
        <v>94</v>
      </c>
      <c r="F17" s="68">
        <f>110</f>
        <v>110</v>
      </c>
      <c r="G17" s="68">
        <f>68</f>
        <v>68</v>
      </c>
      <c r="H17" s="68">
        <v>80</v>
      </c>
      <c r="I17" s="68">
        <v>80</v>
      </c>
      <c r="J17" s="127"/>
    </row>
    <row r="18" spans="1:14" ht="16.5" x14ac:dyDescent="0.2">
      <c r="A18" s="19" t="s">
        <v>138</v>
      </c>
      <c r="B18" s="68">
        <v>70</v>
      </c>
      <c r="C18" s="68">
        <v>98</v>
      </c>
      <c r="D18" s="68">
        <v>115</v>
      </c>
      <c r="E18" s="68">
        <v>87</v>
      </c>
      <c r="F18" s="68">
        <v>105</v>
      </c>
      <c r="G18" s="68">
        <v>58</v>
      </c>
      <c r="H18" s="68">
        <v>75</v>
      </c>
      <c r="I18" s="68">
        <v>75</v>
      </c>
      <c r="J18" s="127"/>
    </row>
    <row r="19" spans="1:14" ht="14.25" x14ac:dyDescent="0.2">
      <c r="A19" s="19"/>
      <c r="B19" s="38"/>
      <c r="C19" s="70"/>
      <c r="D19" s="81"/>
      <c r="E19" s="81"/>
      <c r="F19" s="81"/>
      <c r="G19" s="81"/>
      <c r="H19" s="19"/>
      <c r="I19" s="19"/>
    </row>
    <row r="20" spans="1:14" ht="15" x14ac:dyDescent="0.25">
      <c r="A20" s="41" t="s">
        <v>34</v>
      </c>
      <c r="B20" s="68"/>
      <c r="C20" s="68"/>
      <c r="D20" s="68"/>
      <c r="E20" s="68"/>
      <c r="F20" s="68"/>
      <c r="G20" s="68"/>
      <c r="H20" s="68"/>
      <c r="I20" s="68"/>
    </row>
    <row r="21" spans="1:14" ht="14.25" x14ac:dyDescent="0.2">
      <c r="A21" s="23" t="s">
        <v>38</v>
      </c>
      <c r="B21" s="68">
        <v>33.909999999999997</v>
      </c>
      <c r="C21" s="68">
        <v>48.35</v>
      </c>
      <c r="D21" s="68" t="s">
        <v>75</v>
      </c>
      <c r="E21" s="68">
        <v>44.35</v>
      </c>
      <c r="F21" s="68">
        <v>93</v>
      </c>
      <c r="G21" s="68">
        <v>43.15</v>
      </c>
      <c r="H21" s="68" t="s">
        <v>75</v>
      </c>
      <c r="I21" s="68">
        <v>34.5</v>
      </c>
      <c r="K21" s="134"/>
      <c r="L21" s="136"/>
      <c r="M21" s="137"/>
      <c r="N21" s="134"/>
    </row>
    <row r="22" spans="1:14" ht="14.25" x14ac:dyDescent="0.2">
      <c r="A22" s="23" t="s">
        <v>39</v>
      </c>
      <c r="B22" s="68">
        <v>37.79</v>
      </c>
      <c r="C22" s="68">
        <v>54.4375</v>
      </c>
      <c r="D22" s="68" t="s">
        <v>75</v>
      </c>
      <c r="E22" s="68">
        <v>49.5</v>
      </c>
      <c r="F22" s="68">
        <v>98.75</v>
      </c>
      <c r="G22" s="68">
        <v>42.53</v>
      </c>
      <c r="H22" s="68">
        <v>41</v>
      </c>
      <c r="I22" s="68">
        <v>34</v>
      </c>
      <c r="K22" s="134"/>
      <c r="L22" s="136"/>
      <c r="M22" s="134"/>
      <c r="N22" s="134"/>
    </row>
    <row r="23" spans="1:14" ht="14.25" x14ac:dyDescent="0.2">
      <c r="A23" s="23" t="s">
        <v>41</v>
      </c>
      <c r="B23" s="68">
        <v>40.85</v>
      </c>
      <c r="C23" s="68">
        <v>59.2</v>
      </c>
      <c r="D23" s="68" t="s">
        <v>75</v>
      </c>
      <c r="E23" s="68">
        <v>51.65</v>
      </c>
      <c r="F23" s="68">
        <v>100</v>
      </c>
      <c r="G23" s="68">
        <v>41.48</v>
      </c>
      <c r="H23" s="68">
        <v>41</v>
      </c>
      <c r="I23" s="68">
        <v>36.25</v>
      </c>
      <c r="K23" s="134"/>
      <c r="L23" s="136"/>
      <c r="M23" s="134"/>
      <c r="N23" s="134"/>
    </row>
    <row r="24" spans="1:14" ht="14.25" x14ac:dyDescent="0.2">
      <c r="A24" s="23" t="s">
        <v>42</v>
      </c>
      <c r="B24" s="68">
        <v>44.31</v>
      </c>
      <c r="C24" s="68">
        <v>63.1875</v>
      </c>
      <c r="D24" s="68" t="s">
        <v>75</v>
      </c>
      <c r="E24" s="68">
        <v>53.3125</v>
      </c>
      <c r="F24" s="68">
        <v>90</v>
      </c>
      <c r="G24" s="68">
        <v>43.337499999999999</v>
      </c>
      <c r="H24" s="68" t="s">
        <v>75</v>
      </c>
      <c r="I24" s="68">
        <v>48.129999999999995</v>
      </c>
      <c r="K24" s="134"/>
      <c r="L24" s="134"/>
      <c r="M24" s="138"/>
      <c r="N24" s="135"/>
    </row>
    <row r="25" spans="1:14" ht="14.25" x14ac:dyDescent="0.2">
      <c r="A25" s="23" t="s">
        <v>43</v>
      </c>
      <c r="B25" s="68">
        <v>48.37</v>
      </c>
      <c r="C25" s="68">
        <v>73.625</v>
      </c>
      <c r="D25" s="68" t="s">
        <v>75</v>
      </c>
      <c r="E25" s="68">
        <v>58.9375</v>
      </c>
      <c r="F25" s="68">
        <v>93</v>
      </c>
      <c r="G25" s="68">
        <v>44.945</v>
      </c>
      <c r="H25" s="68" t="s">
        <v>75</v>
      </c>
      <c r="I25" s="68">
        <v>53.125</v>
      </c>
      <c r="K25" s="134"/>
      <c r="L25" s="134"/>
      <c r="M25" s="138"/>
      <c r="N25" s="135"/>
    </row>
    <row r="26" spans="1:14" ht="14.25" x14ac:dyDescent="0.2">
      <c r="A26" s="23" t="s">
        <v>45</v>
      </c>
      <c r="B26" s="68">
        <v>56</v>
      </c>
      <c r="C26" s="68">
        <v>86.9375</v>
      </c>
      <c r="D26" s="68" t="s">
        <v>75</v>
      </c>
      <c r="E26" s="68">
        <v>71.3125</v>
      </c>
      <c r="F26" s="68">
        <v>105.25</v>
      </c>
      <c r="G26" s="68">
        <v>52.05</v>
      </c>
      <c r="H26" s="68">
        <v>55</v>
      </c>
      <c r="I26" s="68">
        <v>55.943333333333328</v>
      </c>
      <c r="K26" s="134"/>
      <c r="L26" s="134"/>
      <c r="M26" s="138"/>
      <c r="N26" s="135"/>
    </row>
    <row r="27" spans="1:14" ht="14.25" x14ac:dyDescent="0.2">
      <c r="A27" s="23" t="s">
        <v>46</v>
      </c>
      <c r="B27" s="68">
        <v>62.88</v>
      </c>
      <c r="C27" s="68">
        <v>92.65</v>
      </c>
      <c r="D27" s="68">
        <v>83</v>
      </c>
      <c r="E27" s="68">
        <v>79.55</v>
      </c>
      <c r="F27" s="68">
        <v>109.2</v>
      </c>
      <c r="G27" s="68">
        <v>59.8125</v>
      </c>
      <c r="H27" s="68" t="s">
        <v>75</v>
      </c>
      <c r="I27" s="68">
        <v>59.3825</v>
      </c>
      <c r="K27" s="134"/>
      <c r="L27" s="134"/>
      <c r="M27" s="135"/>
      <c r="N27" s="135"/>
    </row>
    <row r="28" spans="1:14" ht="14.25" x14ac:dyDescent="0.2">
      <c r="A28" s="23" t="s">
        <v>47</v>
      </c>
      <c r="B28" s="68">
        <v>74.75</v>
      </c>
      <c r="C28" s="68">
        <v>102.1875</v>
      </c>
      <c r="D28" s="68">
        <v>83</v>
      </c>
      <c r="E28" s="68">
        <v>94.0625</v>
      </c>
      <c r="F28" s="68">
        <v>110</v>
      </c>
      <c r="G28" s="68">
        <v>68.25</v>
      </c>
      <c r="H28" s="68">
        <v>58</v>
      </c>
      <c r="I28" s="68">
        <v>64.724999999999994</v>
      </c>
      <c r="J28" s="85"/>
      <c r="K28" s="134"/>
      <c r="L28" s="134"/>
      <c r="M28" s="135"/>
      <c r="N28" s="135"/>
    </row>
    <row r="29" spans="1:14" ht="14.25" x14ac:dyDescent="0.2">
      <c r="A29" s="23" t="s">
        <v>49</v>
      </c>
      <c r="B29" s="68">
        <v>74.75</v>
      </c>
      <c r="C29" s="68">
        <v>100.6875</v>
      </c>
      <c r="D29" s="68" t="s">
        <v>75</v>
      </c>
      <c r="E29" s="68">
        <v>93.5</v>
      </c>
      <c r="F29" s="68">
        <v>108.1875</v>
      </c>
      <c r="G29" s="68">
        <v>67.599999999999994</v>
      </c>
      <c r="H29" s="68">
        <v>68</v>
      </c>
      <c r="I29" s="68">
        <v>63.666666666666664</v>
      </c>
      <c r="K29" s="134"/>
      <c r="L29" s="134"/>
      <c r="M29" s="135"/>
      <c r="N29" s="135"/>
    </row>
    <row r="30" spans="1:14" ht="14.25" x14ac:dyDescent="0.2">
      <c r="A30" s="23" t="s">
        <v>50</v>
      </c>
      <c r="B30" s="68">
        <v>72.930000000000007</v>
      </c>
      <c r="C30" s="68">
        <v>99.9</v>
      </c>
      <c r="D30" s="68" t="s">
        <v>75</v>
      </c>
      <c r="E30" s="68">
        <v>92.3</v>
      </c>
      <c r="F30" s="68">
        <v>106</v>
      </c>
      <c r="G30" s="68">
        <v>66.094999999999999</v>
      </c>
      <c r="H30" s="68" t="s">
        <v>75</v>
      </c>
      <c r="I30" s="68">
        <v>66.333333333333329</v>
      </c>
      <c r="K30" s="134"/>
      <c r="L30" s="134"/>
      <c r="M30" s="138"/>
      <c r="N30" s="135"/>
    </row>
    <row r="31" spans="1:14" ht="14.25" x14ac:dyDescent="0.2">
      <c r="A31" s="23" t="s">
        <v>51</v>
      </c>
      <c r="B31" s="68">
        <v>70.010000000000005</v>
      </c>
      <c r="C31" s="68">
        <v>96.5</v>
      </c>
      <c r="D31" s="68" t="s">
        <v>75</v>
      </c>
      <c r="E31" s="68">
        <v>81</v>
      </c>
      <c r="F31" s="68">
        <v>108.75</v>
      </c>
      <c r="G31" s="68">
        <v>64.156000000000006</v>
      </c>
      <c r="H31" s="68">
        <v>72.333333333333329</v>
      </c>
      <c r="I31" s="68">
        <v>72</v>
      </c>
      <c r="K31" s="134"/>
      <c r="L31" s="134"/>
      <c r="M31" s="138"/>
      <c r="N31" s="135"/>
    </row>
    <row r="32" spans="1:14" ht="14.25" x14ac:dyDescent="0.2">
      <c r="A32" s="23" t="s">
        <v>37</v>
      </c>
      <c r="B32" s="68">
        <v>65.930000000000007</v>
      </c>
      <c r="C32" s="68">
        <v>93.625</v>
      </c>
      <c r="D32" s="68" t="s">
        <v>75</v>
      </c>
      <c r="E32" s="68">
        <v>76</v>
      </c>
      <c r="F32" s="68">
        <v>105</v>
      </c>
      <c r="G32" s="68">
        <v>53.184999999999995</v>
      </c>
      <c r="H32" s="68" t="s">
        <v>75</v>
      </c>
      <c r="I32" s="68">
        <v>71.75</v>
      </c>
      <c r="K32" s="134"/>
      <c r="L32" s="134"/>
      <c r="M32" s="138"/>
      <c r="N32" s="135"/>
    </row>
    <row r="33" spans="1:12" ht="14.25" x14ac:dyDescent="0.2">
      <c r="A33" s="23"/>
      <c r="B33" s="68"/>
      <c r="C33" s="68"/>
      <c r="D33" s="68"/>
      <c r="E33" s="68"/>
      <c r="F33" s="68"/>
      <c r="G33" s="68"/>
      <c r="H33" s="68"/>
      <c r="I33" s="68"/>
    </row>
    <row r="34" spans="1:12" ht="15" x14ac:dyDescent="0.25">
      <c r="A34" s="55" t="s">
        <v>53</v>
      </c>
      <c r="B34" s="68"/>
      <c r="C34" s="68"/>
      <c r="D34" s="68"/>
      <c r="E34" s="68"/>
      <c r="F34" s="68"/>
      <c r="G34" s="68"/>
      <c r="H34" s="68"/>
      <c r="I34" s="68"/>
      <c r="L34" s="127"/>
    </row>
    <row r="35" spans="1:12" ht="14.25" x14ac:dyDescent="0.2">
      <c r="A35" s="23" t="s">
        <v>38</v>
      </c>
      <c r="B35" s="68">
        <v>70.42</v>
      </c>
      <c r="C35" s="68">
        <v>98.5</v>
      </c>
      <c r="D35" s="68">
        <v>129</v>
      </c>
      <c r="E35" s="68">
        <v>82.3</v>
      </c>
      <c r="F35" s="68">
        <v>101.5</v>
      </c>
      <c r="G35" s="68">
        <v>57.069999999999993</v>
      </c>
      <c r="H35" s="68" t="s">
        <v>75</v>
      </c>
      <c r="I35" s="68" t="s">
        <v>75</v>
      </c>
      <c r="K35" s="148"/>
      <c r="L35" s="147"/>
    </row>
    <row r="36" spans="1:12" ht="14.25" x14ac:dyDescent="0.2">
      <c r="A36" s="23" t="s">
        <v>39</v>
      </c>
      <c r="B36" s="68">
        <v>66.459999999999994</v>
      </c>
      <c r="C36" s="68">
        <v>96.75</v>
      </c>
      <c r="D36" s="68">
        <v>125</v>
      </c>
      <c r="E36" s="68">
        <v>84.375</v>
      </c>
      <c r="F36" s="68">
        <v>100</v>
      </c>
      <c r="G36" s="68">
        <v>57.918000000000006</v>
      </c>
      <c r="H36" s="68" t="s">
        <v>75</v>
      </c>
      <c r="I36" s="68">
        <v>80.06</v>
      </c>
      <c r="K36" s="148"/>
      <c r="L36" s="148"/>
    </row>
    <row r="37" spans="1:12" ht="14.25" x14ac:dyDescent="0.2">
      <c r="A37" s="23" t="s">
        <v>41</v>
      </c>
      <c r="B37" s="68">
        <v>63.69</v>
      </c>
      <c r="C37" s="68">
        <v>93.3</v>
      </c>
      <c r="D37" s="68">
        <v>125</v>
      </c>
      <c r="E37" s="68">
        <v>82.95</v>
      </c>
      <c r="F37" s="68">
        <v>100</v>
      </c>
      <c r="G37" s="68">
        <v>56.093333333333334</v>
      </c>
      <c r="H37" s="68" t="s">
        <v>75</v>
      </c>
      <c r="I37" s="68">
        <v>73</v>
      </c>
      <c r="K37" s="148"/>
      <c r="L37" s="148"/>
    </row>
    <row r="38" spans="1:12" ht="14.25" x14ac:dyDescent="0.2">
      <c r="A38" s="23" t="s">
        <v>42</v>
      </c>
      <c r="B38" s="68">
        <v>65.7</v>
      </c>
      <c r="C38" s="68">
        <v>97.9375</v>
      </c>
      <c r="D38" s="68">
        <v>123.125</v>
      </c>
      <c r="E38" s="68">
        <v>88.5625</v>
      </c>
      <c r="F38" s="68">
        <v>103.125</v>
      </c>
      <c r="G38" s="68">
        <v>54.09</v>
      </c>
      <c r="H38" s="68" t="s">
        <v>75</v>
      </c>
      <c r="I38" s="68">
        <v>76.5</v>
      </c>
      <c r="K38" s="150"/>
    </row>
    <row r="39" spans="1:12" ht="14.25" x14ac:dyDescent="0.2">
      <c r="A39" s="23" t="s">
        <v>43</v>
      </c>
      <c r="B39" s="68">
        <v>70.91</v>
      </c>
      <c r="C39" s="68">
        <v>101.375</v>
      </c>
      <c r="D39" s="68">
        <v>115.33333333333333</v>
      </c>
      <c r="E39" s="68">
        <v>85.875</v>
      </c>
      <c r="F39" s="68">
        <v>105</v>
      </c>
      <c r="G39" s="68">
        <v>59.29</v>
      </c>
      <c r="H39" s="68">
        <v>82</v>
      </c>
      <c r="I39" s="68">
        <v>80</v>
      </c>
    </row>
    <row r="40" spans="1:12" ht="14.25" x14ac:dyDescent="0.2">
      <c r="A40" s="23" t="s">
        <v>45</v>
      </c>
      <c r="B40" s="68">
        <v>76.405000000000001</v>
      </c>
      <c r="C40" s="68">
        <v>114.875</v>
      </c>
      <c r="D40" s="68">
        <v>129</v>
      </c>
      <c r="E40" s="68">
        <v>92</v>
      </c>
      <c r="F40" s="68">
        <v>107.5</v>
      </c>
      <c r="G40" s="68">
        <v>67.1875</v>
      </c>
      <c r="H40" s="68" t="s">
        <v>75</v>
      </c>
      <c r="I40" s="68">
        <v>81.5</v>
      </c>
    </row>
    <row r="41" spans="1:12" ht="14.25" x14ac:dyDescent="0.2">
      <c r="A41" s="23" t="s">
        <v>46</v>
      </c>
      <c r="B41" s="68">
        <v>83.846000000000004</v>
      </c>
      <c r="C41" s="68">
        <v>120.05</v>
      </c>
      <c r="D41" s="68">
        <v>120.4</v>
      </c>
      <c r="E41" s="68">
        <v>103.15</v>
      </c>
      <c r="F41" s="68">
        <v>115</v>
      </c>
      <c r="G41" s="68">
        <v>71.55</v>
      </c>
      <c r="H41" s="68" t="s">
        <v>75</v>
      </c>
      <c r="I41" s="68">
        <v>83.125</v>
      </c>
    </row>
    <row r="42" spans="1:12" ht="14.25" x14ac:dyDescent="0.2">
      <c r="A42" s="17" t="s">
        <v>47</v>
      </c>
      <c r="B42" s="16">
        <v>87.385000000000005</v>
      </c>
      <c r="C42" s="16">
        <v>119.5625</v>
      </c>
      <c r="D42" s="16">
        <v>113.5</v>
      </c>
      <c r="E42" s="16">
        <v>108.6875</v>
      </c>
      <c r="F42" s="16">
        <v>116.25</v>
      </c>
      <c r="G42" s="16">
        <v>77.802499999999995</v>
      </c>
      <c r="H42" s="16" t="s">
        <v>75</v>
      </c>
      <c r="I42" s="16">
        <v>84.25</v>
      </c>
    </row>
    <row r="43" spans="1:12" ht="16.5" x14ac:dyDescent="0.2">
      <c r="A43" s="58" t="s">
        <v>139</v>
      </c>
      <c r="B43" s="83"/>
      <c r="C43" s="83"/>
      <c r="D43" s="83"/>
      <c r="E43" s="83"/>
      <c r="F43" s="83"/>
      <c r="G43" s="83"/>
      <c r="H43" s="83"/>
      <c r="I43" s="83"/>
    </row>
    <row r="44" spans="1:12" ht="16.5" x14ac:dyDescent="0.2">
      <c r="A44" s="19" t="s">
        <v>140</v>
      </c>
      <c r="B44" s="83"/>
      <c r="C44" s="83"/>
      <c r="D44" s="83"/>
      <c r="E44" s="83"/>
      <c r="F44" s="83"/>
      <c r="G44" s="83"/>
      <c r="H44" s="83"/>
      <c r="I44" s="83"/>
    </row>
    <row r="45" spans="1:12" ht="14.25" x14ac:dyDescent="0.2">
      <c r="A45" s="19" t="s">
        <v>141</v>
      </c>
      <c r="B45" s="19"/>
      <c r="C45" s="19"/>
      <c r="D45" s="19"/>
      <c r="E45" s="19"/>
      <c r="F45" s="83"/>
      <c r="G45" s="19"/>
      <c r="H45" s="19"/>
      <c r="I45" s="19"/>
    </row>
    <row r="46" spans="1:12" ht="14.25" x14ac:dyDescent="0.2">
      <c r="A46" s="25" t="s">
        <v>56</v>
      </c>
      <c r="B46" s="50">
        <f ca="1">NOW()</f>
        <v>44725.649194097219</v>
      </c>
      <c r="C46" s="19"/>
      <c r="D46" s="19"/>
      <c r="E46" s="19"/>
      <c r="F46" s="19"/>
      <c r="G46" s="19"/>
      <c r="H46" s="19"/>
      <c r="I46" s="19"/>
    </row>
    <row r="47" spans="1:12" ht="15.75" x14ac:dyDescent="0.25">
      <c r="C47" s="84"/>
      <c r="G47" s="84"/>
      <c r="H47" s="84"/>
      <c r="I47" s="84"/>
    </row>
    <row r="48" spans="1:12" ht="15.75" x14ac:dyDescent="0.25">
      <c r="B48" s="85"/>
      <c r="C48" s="85"/>
      <c r="D48" s="85"/>
      <c r="E48" s="85"/>
      <c r="F48" s="85"/>
      <c r="G48" s="85"/>
      <c r="H48" s="84"/>
      <c r="I48" s="84"/>
    </row>
    <row r="49" spans="2:9" ht="15.75" x14ac:dyDescent="0.25">
      <c r="B49" s="149"/>
      <c r="C49" s="149"/>
      <c r="D49" s="149"/>
      <c r="E49" s="149"/>
      <c r="F49" s="149"/>
      <c r="G49" s="149"/>
      <c r="H49" s="84"/>
      <c r="I49" s="84"/>
    </row>
    <row r="50" spans="2:9" ht="15.75" x14ac:dyDescent="0.25">
      <c r="C50" s="84"/>
      <c r="G50" s="84"/>
      <c r="H50" s="84"/>
      <c r="I50" s="84"/>
    </row>
    <row r="51" spans="2:9" ht="15.75" x14ac:dyDescent="0.25">
      <c r="C51" s="84"/>
      <c r="G51" s="84"/>
      <c r="H51" s="84"/>
      <c r="I51" s="84"/>
    </row>
    <row r="52" spans="2:9" ht="15.75" x14ac:dyDescent="0.25">
      <c r="C52" s="84"/>
      <c r="G52" s="84"/>
      <c r="H52" s="84"/>
      <c r="I52" s="84"/>
    </row>
    <row r="53" spans="2:9" ht="15.75" x14ac:dyDescent="0.25">
      <c r="C53" s="84"/>
      <c r="G53" s="84"/>
      <c r="H53" s="84"/>
      <c r="I53" s="84"/>
    </row>
    <row r="54" spans="2:9" ht="15.75" x14ac:dyDescent="0.25">
      <c r="C54" s="84"/>
      <c r="G54" s="84"/>
      <c r="H54" s="84"/>
      <c r="I54" s="84"/>
    </row>
    <row r="55" spans="2:9" ht="15.75" x14ac:dyDescent="0.25">
      <c r="C55" s="84"/>
      <c r="G55" s="84"/>
      <c r="H55" s="84"/>
      <c r="I55" s="84"/>
    </row>
    <row r="56" spans="2:9" ht="15.75" x14ac:dyDescent="0.25">
      <c r="C56" s="84"/>
      <c r="G56" s="84"/>
      <c r="H56" s="84"/>
      <c r="I56" s="84"/>
    </row>
    <row r="57" spans="2:9" ht="15.75" x14ac:dyDescent="0.25">
      <c r="C57" s="84"/>
      <c r="G57" s="84"/>
      <c r="H57" s="84"/>
      <c r="I57" s="84"/>
    </row>
    <row r="58" spans="2:9" ht="15.75" x14ac:dyDescent="0.25">
      <c r="C58" s="84"/>
      <c r="G58" s="84"/>
      <c r="H58" s="84"/>
      <c r="I58" s="84"/>
    </row>
    <row r="59" spans="2:9" ht="15.75" x14ac:dyDescent="0.25">
      <c r="C59" s="84"/>
      <c r="G59" s="84"/>
      <c r="H59" s="84"/>
      <c r="I59" s="84"/>
    </row>
    <row r="60" spans="2:9" ht="15.75" x14ac:dyDescent="0.25">
      <c r="C60" s="84"/>
      <c r="G60" s="84"/>
      <c r="H60" s="84"/>
      <c r="I60" s="84"/>
    </row>
    <row r="61" spans="2:9" ht="15.75" x14ac:dyDescent="0.25">
      <c r="C61" s="84"/>
      <c r="G61" s="84"/>
      <c r="H61" s="84"/>
      <c r="I61" s="84"/>
    </row>
    <row r="62" spans="2:9" ht="15.75" x14ac:dyDescent="0.25">
      <c r="C62" s="84"/>
      <c r="G62" s="84"/>
      <c r="H62" s="84"/>
      <c r="I62" s="84"/>
    </row>
    <row r="63" spans="2:9" ht="15.75" x14ac:dyDescent="0.25">
      <c r="C63" s="84"/>
      <c r="H63" s="84"/>
      <c r="I63" s="84"/>
    </row>
    <row r="64" spans="2:9" ht="15.75" x14ac:dyDescent="0.25">
      <c r="C64" s="84"/>
      <c r="H64" s="84"/>
      <c r="I64" s="84"/>
    </row>
    <row r="65" spans="3:9" ht="15.75" x14ac:dyDescent="0.25">
      <c r="C65" s="84"/>
      <c r="F65" s="85"/>
      <c r="H65" s="84"/>
      <c r="I65" s="84"/>
    </row>
    <row r="66" spans="3:9" ht="15.75" x14ac:dyDescent="0.25">
      <c r="F66" s="85"/>
      <c r="H66" s="84"/>
      <c r="I66" s="84"/>
    </row>
  </sheetData>
  <phoneticPr fontId="12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7"/>
  <sheetViews>
    <sheetView showGridLines="0" zoomScale="70" zoomScaleNormal="70" workbookViewId="0"/>
  </sheetViews>
  <sheetFormatPr defaultColWidth="9.140625" defaultRowHeight="12.75" x14ac:dyDescent="0.2"/>
  <cols>
    <col min="1" max="1" width="11.7109375" style="18" customWidth="1"/>
    <col min="2" max="7" width="13.7109375" style="18" customWidth="1"/>
    <col min="8" max="8" width="10.140625" style="18" bestFit="1" customWidth="1"/>
    <col min="9" max="10" width="9.140625" style="18"/>
    <col min="11" max="11" width="8.85546875" style="18" customWidth="1"/>
    <col min="12" max="12" width="18" style="18" bestFit="1" customWidth="1"/>
    <col min="13" max="16384" width="9.140625" style="18"/>
  </cols>
  <sheetData>
    <row r="1" spans="1:28" ht="14.25" x14ac:dyDescent="0.2">
      <c r="A1" s="17" t="s">
        <v>10</v>
      </c>
      <c r="B1" s="17"/>
      <c r="C1" s="17"/>
      <c r="D1" s="17"/>
      <c r="E1" s="17"/>
      <c r="F1" s="17"/>
      <c r="G1" s="17"/>
    </row>
    <row r="2" spans="1:28" ht="15.6" customHeight="1" x14ac:dyDescent="0.2">
      <c r="A2" s="23" t="s">
        <v>96</v>
      </c>
      <c r="B2" s="40" t="s">
        <v>122</v>
      </c>
      <c r="C2" s="86" t="s">
        <v>123</v>
      </c>
      <c r="D2" s="86" t="s">
        <v>124</v>
      </c>
      <c r="E2" s="86" t="s">
        <v>126</v>
      </c>
      <c r="F2" s="40" t="s">
        <v>142</v>
      </c>
      <c r="G2" s="21" t="s">
        <v>143</v>
      </c>
      <c r="AB2" s="87"/>
    </row>
    <row r="3" spans="1:28" ht="15.6" customHeight="1" x14ac:dyDescent="0.2">
      <c r="A3" s="17" t="s">
        <v>103</v>
      </c>
      <c r="B3" s="28" t="s">
        <v>144</v>
      </c>
      <c r="C3" s="28" t="s">
        <v>145</v>
      </c>
      <c r="D3" s="28" t="s">
        <v>146</v>
      </c>
      <c r="E3" s="28" t="s">
        <v>147</v>
      </c>
      <c r="F3" s="28" t="s">
        <v>148</v>
      </c>
      <c r="G3" s="28" t="s">
        <v>149</v>
      </c>
      <c r="AB3" s="87"/>
    </row>
    <row r="4" spans="1:28" ht="14.25" x14ac:dyDescent="0.2">
      <c r="A4" s="79" t="s">
        <v>150</v>
      </c>
      <c r="C4" s="80"/>
      <c r="D4" s="80"/>
      <c r="E4" s="80"/>
      <c r="F4" s="80"/>
      <c r="G4" s="80"/>
      <c r="AB4" s="87"/>
    </row>
    <row r="5" spans="1:28" ht="14.25" x14ac:dyDescent="0.2">
      <c r="A5" s="19"/>
      <c r="B5" s="19"/>
      <c r="C5" s="19"/>
      <c r="D5" s="19"/>
      <c r="E5" s="19"/>
      <c r="F5" s="19"/>
      <c r="G5" s="19"/>
      <c r="AB5" s="87"/>
    </row>
    <row r="6" spans="1:28" ht="14.25" x14ac:dyDescent="0.2">
      <c r="A6" s="19" t="s">
        <v>108</v>
      </c>
      <c r="B6" s="68">
        <v>345.52</v>
      </c>
      <c r="C6" s="68">
        <v>273.83999999999997</v>
      </c>
      <c r="D6" s="68">
        <v>219.72</v>
      </c>
      <c r="E6" s="88" t="s">
        <v>75</v>
      </c>
      <c r="F6" s="68">
        <v>263.63</v>
      </c>
      <c r="G6" s="68">
        <v>240.65</v>
      </c>
      <c r="AB6" s="87"/>
    </row>
    <row r="7" spans="1:28" ht="14.25" x14ac:dyDescent="0.2">
      <c r="A7" s="19" t="s">
        <v>109</v>
      </c>
      <c r="B7" s="68">
        <v>393.53</v>
      </c>
      <c r="C7" s="68">
        <v>275.13</v>
      </c>
      <c r="D7" s="68">
        <v>246.75</v>
      </c>
      <c r="E7" s="88" t="s">
        <v>75</v>
      </c>
      <c r="F7" s="68">
        <v>307.58999999999997</v>
      </c>
      <c r="G7" s="68">
        <v>265.68</v>
      </c>
      <c r="AB7" s="87"/>
    </row>
    <row r="8" spans="1:28" ht="14.25" x14ac:dyDescent="0.2">
      <c r="A8" s="19" t="s">
        <v>110</v>
      </c>
      <c r="B8" s="68">
        <v>468.11</v>
      </c>
      <c r="C8" s="68">
        <v>331.52</v>
      </c>
      <c r="D8" s="68">
        <v>241.57</v>
      </c>
      <c r="E8" s="88" t="s">
        <v>75</v>
      </c>
      <c r="F8" s="68">
        <v>354.22</v>
      </c>
      <c r="G8" s="68">
        <v>329.31</v>
      </c>
      <c r="AB8" s="87"/>
    </row>
    <row r="9" spans="1:28" ht="14.25" x14ac:dyDescent="0.2">
      <c r="A9" s="19" t="s">
        <v>111</v>
      </c>
      <c r="B9" s="68">
        <v>489.94</v>
      </c>
      <c r="C9" s="68">
        <v>377.71</v>
      </c>
      <c r="D9" s="68">
        <v>238.87</v>
      </c>
      <c r="E9" s="88" t="s">
        <v>75</v>
      </c>
      <c r="F9" s="68">
        <v>359.7</v>
      </c>
      <c r="G9" s="68">
        <v>337.23</v>
      </c>
      <c r="AB9" s="87"/>
    </row>
    <row r="10" spans="1:28" ht="14.25" x14ac:dyDescent="0.2">
      <c r="A10" s="19" t="s">
        <v>112</v>
      </c>
      <c r="B10" s="68">
        <v>368.49</v>
      </c>
      <c r="C10" s="68">
        <v>304.27</v>
      </c>
      <c r="D10" s="68">
        <v>209.97</v>
      </c>
      <c r="E10" s="88" t="s">
        <v>75</v>
      </c>
      <c r="F10" s="68">
        <v>301.2</v>
      </c>
      <c r="G10" s="68">
        <v>256.58</v>
      </c>
      <c r="AB10" s="87"/>
    </row>
    <row r="11" spans="1:28" ht="14.25" x14ac:dyDescent="0.2">
      <c r="A11" s="19" t="s">
        <v>113</v>
      </c>
      <c r="B11" s="68">
        <v>324.56</v>
      </c>
      <c r="C11" s="68">
        <v>261.19</v>
      </c>
      <c r="D11" s="68">
        <v>153.16999999999999</v>
      </c>
      <c r="E11" s="88" t="s">
        <v>75</v>
      </c>
      <c r="F11" s="68">
        <v>262.2</v>
      </c>
      <c r="G11" s="68">
        <v>260.23</v>
      </c>
      <c r="AB11" s="87"/>
    </row>
    <row r="12" spans="1:28" ht="14.25" x14ac:dyDescent="0.2">
      <c r="A12" s="19" t="s">
        <v>114</v>
      </c>
      <c r="B12" s="68">
        <v>316.88</v>
      </c>
      <c r="C12" s="68">
        <v>208.61</v>
      </c>
      <c r="D12" s="68">
        <v>145.1</v>
      </c>
      <c r="E12" s="88" t="s">
        <v>75</v>
      </c>
      <c r="F12" s="68">
        <v>267.94</v>
      </c>
      <c r="G12" s="68">
        <v>282.49</v>
      </c>
      <c r="AB12" s="87"/>
    </row>
    <row r="13" spans="1:28" ht="14.25" x14ac:dyDescent="0.2">
      <c r="A13" s="19" t="s">
        <v>115</v>
      </c>
      <c r="B13" s="68">
        <v>345.02</v>
      </c>
      <c r="C13" s="68">
        <v>260.88</v>
      </c>
      <c r="D13" s="68">
        <v>173.53</v>
      </c>
      <c r="E13" s="88" t="s">
        <v>75</v>
      </c>
      <c r="F13" s="68">
        <v>291.14999999999998</v>
      </c>
      <c r="G13" s="68">
        <v>239.15</v>
      </c>
    </row>
    <row r="14" spans="1:28" ht="14.25" x14ac:dyDescent="0.2">
      <c r="A14" s="19" t="s">
        <v>116</v>
      </c>
      <c r="B14" s="68">
        <v>308.27999999999997</v>
      </c>
      <c r="C14" s="68">
        <v>228.64</v>
      </c>
      <c r="D14" s="82">
        <v>164.16</v>
      </c>
      <c r="E14" s="88" t="s">
        <v>75</v>
      </c>
      <c r="F14" s="68">
        <v>272.38</v>
      </c>
      <c r="G14" s="68">
        <v>225.77</v>
      </c>
    </row>
    <row r="15" spans="1:28" ht="14.25" x14ac:dyDescent="0.2">
      <c r="A15" s="19" t="s">
        <v>117</v>
      </c>
      <c r="B15" s="68">
        <v>299.5</v>
      </c>
      <c r="C15" s="68">
        <v>247.04</v>
      </c>
      <c r="D15" s="82">
        <v>187.7</v>
      </c>
      <c r="E15" s="88" t="s">
        <v>75</v>
      </c>
      <c r="F15" s="68">
        <v>273.99</v>
      </c>
      <c r="G15" s="68">
        <v>245.88</v>
      </c>
    </row>
    <row r="16" spans="1:28" ht="14.25" x14ac:dyDescent="0.2">
      <c r="A16" s="19" t="s">
        <v>34</v>
      </c>
      <c r="B16" s="68">
        <v>392.31</v>
      </c>
      <c r="C16" s="68">
        <v>375.51</v>
      </c>
      <c r="D16" s="82">
        <v>246.22</v>
      </c>
      <c r="E16" s="88" t="s">
        <v>75</v>
      </c>
      <c r="F16" s="68">
        <v>351.87</v>
      </c>
      <c r="G16" s="68">
        <v>288.12</v>
      </c>
    </row>
    <row r="17" spans="1:13" ht="16.5" x14ac:dyDescent="0.2">
      <c r="A17" s="19" t="s">
        <v>137</v>
      </c>
      <c r="B17" s="68">
        <v>425</v>
      </c>
      <c r="C17" s="68">
        <v>325</v>
      </c>
      <c r="D17" s="82">
        <v>290</v>
      </c>
      <c r="E17" s="88" t="s">
        <v>75</v>
      </c>
      <c r="F17" s="68">
        <v>405</v>
      </c>
      <c r="G17" s="68">
        <v>325</v>
      </c>
    </row>
    <row r="18" spans="1:13" ht="16.5" x14ac:dyDescent="0.2">
      <c r="A18" s="19" t="s">
        <v>138</v>
      </c>
      <c r="B18" s="68">
        <v>400</v>
      </c>
      <c r="C18" s="68">
        <v>311</v>
      </c>
      <c r="D18" s="82">
        <v>265</v>
      </c>
      <c r="E18" s="88" t="s">
        <v>75</v>
      </c>
      <c r="F18" s="68">
        <v>360</v>
      </c>
      <c r="G18" s="68">
        <v>300</v>
      </c>
    </row>
    <row r="19" spans="1:13" ht="15" x14ac:dyDescent="0.2">
      <c r="A19" s="23"/>
      <c r="B19" s="68"/>
      <c r="C19" s="68"/>
      <c r="D19" s="68"/>
      <c r="E19" s="88"/>
      <c r="F19" s="68"/>
      <c r="G19" s="68"/>
      <c r="I19" s="89"/>
      <c r="J19" s="90"/>
      <c r="K19" s="90"/>
      <c r="L19" s="90"/>
      <c r="M19" s="90"/>
    </row>
    <row r="20" spans="1:13" ht="15" x14ac:dyDescent="0.25">
      <c r="A20" s="41" t="s">
        <v>34</v>
      </c>
      <c r="B20" s="132"/>
      <c r="C20" s="132"/>
      <c r="D20" s="132"/>
      <c r="E20" s="132"/>
      <c r="F20" s="132"/>
      <c r="G20" s="132"/>
      <c r="I20" s="89"/>
      <c r="J20" s="89"/>
      <c r="M20" s="90"/>
    </row>
    <row r="21" spans="1:13" ht="15" x14ac:dyDescent="0.2">
      <c r="A21" s="19" t="s">
        <v>38</v>
      </c>
      <c r="B21" s="68">
        <v>367.11</v>
      </c>
      <c r="C21" s="68">
        <v>301.88</v>
      </c>
      <c r="D21" s="68">
        <v>211.25</v>
      </c>
      <c r="E21" s="88" t="s">
        <v>75</v>
      </c>
      <c r="F21" s="68">
        <v>327.24</v>
      </c>
      <c r="G21" s="68">
        <v>239.375</v>
      </c>
      <c r="H21" s="91"/>
      <c r="I21" s="89"/>
      <c r="J21" s="89"/>
      <c r="M21" s="90"/>
    </row>
    <row r="22" spans="1:13" ht="14.25" x14ac:dyDescent="0.2">
      <c r="A22" s="19" t="s">
        <v>39</v>
      </c>
      <c r="B22" s="68">
        <v>387.83</v>
      </c>
      <c r="C22" s="68">
        <v>365.63</v>
      </c>
      <c r="D22" s="68">
        <v>216.25</v>
      </c>
      <c r="E22" s="88" t="s">
        <v>75</v>
      </c>
      <c r="F22" s="68">
        <v>333.89</v>
      </c>
      <c r="G22" s="68">
        <v>253.75</v>
      </c>
      <c r="H22" s="91"/>
      <c r="I22" s="89"/>
      <c r="J22" s="89"/>
    </row>
    <row r="23" spans="1:13" ht="14.25" x14ac:dyDescent="0.2">
      <c r="A23" s="19" t="s">
        <v>41</v>
      </c>
      <c r="B23" s="68">
        <v>396.68</v>
      </c>
      <c r="C23" s="68">
        <v>435.83</v>
      </c>
      <c r="D23" s="68">
        <v>252.5</v>
      </c>
      <c r="E23" s="88" t="s">
        <v>75</v>
      </c>
      <c r="F23" s="68">
        <v>338.55</v>
      </c>
      <c r="G23" s="68">
        <v>275</v>
      </c>
      <c r="H23" s="91"/>
      <c r="I23" s="89"/>
    </row>
    <row r="24" spans="1:13" ht="15" x14ac:dyDescent="0.2">
      <c r="A24" s="23" t="s">
        <v>42</v>
      </c>
      <c r="B24" s="68">
        <v>439.24</v>
      </c>
      <c r="C24" s="68">
        <v>443.75</v>
      </c>
      <c r="D24" s="68">
        <v>280.63</v>
      </c>
      <c r="E24" s="88" t="s">
        <v>75</v>
      </c>
      <c r="F24" s="68">
        <v>387.53</v>
      </c>
      <c r="G24" s="68">
        <v>313.125</v>
      </c>
      <c r="I24" s="90"/>
      <c r="J24" s="90"/>
      <c r="K24" s="90"/>
    </row>
    <row r="25" spans="1:13" ht="15" x14ac:dyDescent="0.2">
      <c r="A25" s="23" t="s">
        <v>43</v>
      </c>
      <c r="B25" s="68">
        <v>427.28</v>
      </c>
      <c r="C25" s="68">
        <v>460</v>
      </c>
      <c r="D25" s="68">
        <v>291.88</v>
      </c>
      <c r="E25" s="88" t="s">
        <v>75</v>
      </c>
      <c r="F25" s="68">
        <v>376.07499999999999</v>
      </c>
      <c r="G25" s="68">
        <v>296.25</v>
      </c>
      <c r="I25" s="89"/>
      <c r="J25" s="89"/>
      <c r="L25" s="90"/>
    </row>
    <row r="26" spans="1:13" ht="15" x14ac:dyDescent="0.2">
      <c r="A26" s="23" t="s">
        <v>45</v>
      </c>
      <c r="B26" s="68">
        <v>410.02</v>
      </c>
      <c r="C26" s="68">
        <v>456</v>
      </c>
      <c r="D26" s="68">
        <v>279.5</v>
      </c>
      <c r="E26" s="88" t="s">
        <v>75</v>
      </c>
      <c r="F26" s="68">
        <v>365.14</v>
      </c>
      <c r="G26" s="68">
        <v>322</v>
      </c>
      <c r="I26" s="89"/>
      <c r="J26" s="89"/>
      <c r="L26" s="90"/>
    </row>
    <row r="27" spans="1:13" ht="15" x14ac:dyDescent="0.2">
      <c r="A27" s="23" t="s">
        <v>46</v>
      </c>
      <c r="B27" s="68">
        <v>413.36</v>
      </c>
      <c r="C27" s="68">
        <v>415</v>
      </c>
      <c r="D27" s="68">
        <v>258.125</v>
      </c>
      <c r="E27" s="88" t="s">
        <v>75</v>
      </c>
      <c r="F27" s="68">
        <v>377.57499999999999</v>
      </c>
      <c r="G27" s="68">
        <v>318.75</v>
      </c>
      <c r="I27" s="89"/>
      <c r="J27" s="89"/>
      <c r="L27" s="90"/>
    </row>
    <row r="28" spans="1:13" ht="15" x14ac:dyDescent="0.2">
      <c r="A28" s="23" t="s">
        <v>47</v>
      </c>
      <c r="B28" s="68">
        <v>421.03</v>
      </c>
      <c r="C28" s="68">
        <v>360.625</v>
      </c>
      <c r="D28" s="68">
        <v>265</v>
      </c>
      <c r="E28" s="88" t="s">
        <v>75</v>
      </c>
      <c r="F28" s="68">
        <v>391.45</v>
      </c>
      <c r="G28" s="68">
        <v>335.63</v>
      </c>
      <c r="I28" s="89"/>
      <c r="J28" s="89"/>
      <c r="L28" s="90"/>
    </row>
    <row r="29" spans="1:13" ht="15" x14ac:dyDescent="0.2">
      <c r="A29" s="23" t="s">
        <v>49</v>
      </c>
      <c r="B29" s="68">
        <v>378.18</v>
      </c>
      <c r="C29" s="68">
        <v>337.5</v>
      </c>
      <c r="D29" s="68">
        <v>252.5</v>
      </c>
      <c r="E29" s="88" t="s">
        <v>75</v>
      </c>
      <c r="F29" s="68">
        <v>345.9</v>
      </c>
      <c r="G29" s="68">
        <v>293.5</v>
      </c>
      <c r="I29" s="89"/>
      <c r="J29" s="89"/>
      <c r="L29" s="90"/>
    </row>
    <row r="30" spans="1:13" ht="15" x14ac:dyDescent="0.2">
      <c r="A30" s="23" t="s">
        <v>50</v>
      </c>
      <c r="B30" s="68">
        <v>365.23</v>
      </c>
      <c r="C30" s="68">
        <v>321.875</v>
      </c>
      <c r="D30" s="68">
        <v>206.25</v>
      </c>
      <c r="E30" s="88" t="s">
        <v>75</v>
      </c>
      <c r="F30" s="68">
        <v>326.67499999999995</v>
      </c>
      <c r="G30" s="68">
        <v>262.5</v>
      </c>
      <c r="I30" s="89"/>
      <c r="J30" s="89"/>
      <c r="L30" s="90"/>
    </row>
    <row r="31" spans="1:13" ht="15" x14ac:dyDescent="0.2">
      <c r="A31" s="23" t="s">
        <v>51</v>
      </c>
      <c r="B31" s="68">
        <v>358.21</v>
      </c>
      <c r="C31" s="68">
        <v>303</v>
      </c>
      <c r="D31" s="68">
        <v>219.5</v>
      </c>
      <c r="E31" s="88" t="s">
        <v>75</v>
      </c>
      <c r="F31" s="68">
        <v>329.45</v>
      </c>
      <c r="G31" s="68">
        <v>287.5</v>
      </c>
      <c r="I31" s="89"/>
      <c r="J31" s="89"/>
      <c r="L31" s="90"/>
    </row>
    <row r="32" spans="1:13" ht="15" x14ac:dyDescent="0.2">
      <c r="A32" s="23" t="s">
        <v>37</v>
      </c>
      <c r="B32" s="68">
        <v>343.55</v>
      </c>
      <c r="C32" s="68">
        <v>305</v>
      </c>
      <c r="D32" s="68">
        <v>221.25</v>
      </c>
      <c r="E32" s="88" t="s">
        <v>75</v>
      </c>
      <c r="F32" s="68">
        <v>322.96249999999998</v>
      </c>
      <c r="G32" s="68">
        <v>260</v>
      </c>
      <c r="I32" s="89"/>
      <c r="J32" s="89"/>
      <c r="L32" s="90"/>
    </row>
    <row r="33" spans="1:10" ht="14.25" x14ac:dyDescent="0.2">
      <c r="A33" s="23"/>
      <c r="B33" s="68"/>
      <c r="C33" s="68"/>
      <c r="D33" s="68"/>
      <c r="E33" s="68"/>
      <c r="F33" s="68"/>
      <c r="G33" s="68"/>
      <c r="H33" s="68"/>
    </row>
    <row r="34" spans="1:10" ht="15" x14ac:dyDescent="0.25">
      <c r="A34" s="55" t="s">
        <v>53</v>
      </c>
      <c r="B34" s="68"/>
      <c r="C34" s="68"/>
      <c r="D34" s="68"/>
      <c r="E34" s="68"/>
      <c r="F34" s="68"/>
      <c r="G34" s="68"/>
      <c r="H34" s="68"/>
    </row>
    <row r="35" spans="1:10" ht="14.25" x14ac:dyDescent="0.2">
      <c r="A35" s="23" t="s">
        <v>38</v>
      </c>
      <c r="B35" s="68">
        <v>325.43</v>
      </c>
      <c r="C35" s="68">
        <v>298.75</v>
      </c>
      <c r="D35" s="68">
        <v>222.5</v>
      </c>
      <c r="E35" s="88" t="s">
        <v>75</v>
      </c>
      <c r="F35" s="68">
        <v>322.82499999999999</v>
      </c>
      <c r="G35" s="68">
        <v>265.625</v>
      </c>
      <c r="H35" s="68"/>
    </row>
    <row r="36" spans="1:10" ht="14.25" x14ac:dyDescent="0.2">
      <c r="A36" s="23" t="s">
        <v>39</v>
      </c>
      <c r="B36" s="68">
        <v>358.73</v>
      </c>
      <c r="C36" s="68">
        <v>304.5</v>
      </c>
      <c r="D36" s="68">
        <v>256.5</v>
      </c>
      <c r="E36" s="88" t="s">
        <v>75</v>
      </c>
      <c r="F36" s="68">
        <v>350.21999999999997</v>
      </c>
      <c r="G36" s="68">
        <v>252</v>
      </c>
      <c r="H36" s="68"/>
    </row>
    <row r="37" spans="1:10" ht="14.25" x14ac:dyDescent="0.2">
      <c r="A37" s="23" t="s">
        <v>41</v>
      </c>
      <c r="B37" s="68">
        <v>399.53</v>
      </c>
      <c r="C37" s="68">
        <v>311.25</v>
      </c>
      <c r="D37" s="68">
        <v>289.16666666666669</v>
      </c>
      <c r="E37" s="88" t="s">
        <v>75</v>
      </c>
      <c r="F37" s="68">
        <v>382.9666666666667</v>
      </c>
      <c r="G37" s="68">
        <v>309.16666666666669</v>
      </c>
      <c r="H37" s="68"/>
    </row>
    <row r="38" spans="1:10" ht="14.25" x14ac:dyDescent="0.2">
      <c r="A38" s="23" t="s">
        <v>151</v>
      </c>
      <c r="B38" s="68">
        <v>421.21</v>
      </c>
      <c r="C38" s="68">
        <v>318.125</v>
      </c>
      <c r="D38" s="68">
        <v>301.25</v>
      </c>
      <c r="E38" s="88" t="s">
        <v>75</v>
      </c>
      <c r="F38" s="68">
        <v>410.875</v>
      </c>
      <c r="G38" s="68">
        <v>326.25</v>
      </c>
      <c r="H38" s="68"/>
    </row>
    <row r="39" spans="1:10" ht="14.25" x14ac:dyDescent="0.2">
      <c r="A39" s="23" t="s">
        <v>43</v>
      </c>
      <c r="B39" s="131">
        <v>460.45</v>
      </c>
      <c r="C39" s="68">
        <v>333.75</v>
      </c>
      <c r="D39" s="68">
        <v>320</v>
      </c>
      <c r="E39" s="88" t="s">
        <v>75</v>
      </c>
      <c r="F39" s="68">
        <v>454.625</v>
      </c>
      <c r="G39" s="68">
        <v>350</v>
      </c>
      <c r="H39" s="68"/>
    </row>
    <row r="40" spans="1:10" ht="14.25" x14ac:dyDescent="0.2">
      <c r="A40" s="23" t="s">
        <v>45</v>
      </c>
      <c r="B40" s="131">
        <v>493.97500000000002</v>
      </c>
      <c r="C40" s="68">
        <v>345.625</v>
      </c>
      <c r="D40" s="68">
        <v>333.33300000000003</v>
      </c>
      <c r="E40" s="88" t="s">
        <v>75</v>
      </c>
      <c r="F40" s="68">
        <v>487.03750000000002</v>
      </c>
      <c r="G40" s="68">
        <v>392.5</v>
      </c>
      <c r="H40" s="68"/>
    </row>
    <row r="41" spans="1:10" ht="14.25" x14ac:dyDescent="0.2">
      <c r="A41" s="23" t="s">
        <v>46</v>
      </c>
      <c r="B41" s="131">
        <v>475.35999999999996</v>
      </c>
      <c r="C41" s="68">
        <v>355</v>
      </c>
      <c r="D41" s="68">
        <v>321</v>
      </c>
      <c r="E41" s="88" t="s">
        <v>75</v>
      </c>
      <c r="F41" s="68">
        <v>470.77999999999992</v>
      </c>
      <c r="G41" s="68">
        <v>386</v>
      </c>
      <c r="H41" s="68"/>
    </row>
    <row r="42" spans="1:10" ht="14.25" x14ac:dyDescent="0.2">
      <c r="A42" s="17" t="s">
        <v>47</v>
      </c>
      <c r="B42" s="130">
        <v>441.27499999999998</v>
      </c>
      <c r="C42" s="16">
        <v>388.75</v>
      </c>
      <c r="D42" s="16">
        <v>285.625</v>
      </c>
      <c r="E42" s="119" t="s">
        <v>75</v>
      </c>
      <c r="F42" s="16">
        <v>454.5</v>
      </c>
      <c r="G42" s="16">
        <v>351.25</v>
      </c>
      <c r="H42" s="68"/>
    </row>
    <row r="43" spans="1:10" ht="16.5" x14ac:dyDescent="0.2">
      <c r="A43" s="58" t="s">
        <v>152</v>
      </c>
      <c r="B43" s="92"/>
      <c r="C43" s="92"/>
      <c r="D43" s="92"/>
      <c r="E43" s="92"/>
      <c r="F43" s="92"/>
      <c r="G43" s="92"/>
      <c r="I43" s="89"/>
    </row>
    <row r="44" spans="1:10" ht="16.5" x14ac:dyDescent="0.2">
      <c r="A44" s="58" t="s">
        <v>153</v>
      </c>
      <c r="B44" s="93"/>
      <c r="C44" s="93"/>
      <c r="D44" s="93"/>
      <c r="E44" s="93"/>
      <c r="F44" s="93"/>
      <c r="G44" s="93"/>
      <c r="I44" s="89"/>
      <c r="J44" s="89"/>
    </row>
    <row r="45" spans="1:10" ht="14.25" x14ac:dyDescent="0.2">
      <c r="A45" s="19"/>
      <c r="B45" s="93"/>
      <c r="C45" s="93"/>
      <c r="D45" s="93"/>
      <c r="E45" s="93"/>
      <c r="F45" s="93"/>
      <c r="G45" s="93"/>
      <c r="H45" s="59"/>
      <c r="I45" s="89"/>
      <c r="J45" s="89"/>
    </row>
    <row r="46" spans="1:10" ht="14.25" x14ac:dyDescent="0.2">
      <c r="A46" s="19" t="s">
        <v>154</v>
      </c>
      <c r="B46" s="19"/>
      <c r="C46" s="19"/>
      <c r="D46" s="19"/>
      <c r="E46" s="19"/>
      <c r="F46" s="93"/>
      <c r="G46" s="93"/>
      <c r="I46" s="89"/>
      <c r="J46" s="89"/>
    </row>
    <row r="47" spans="1:10" ht="14.25" x14ac:dyDescent="0.2">
      <c r="A47" s="25" t="s">
        <v>56</v>
      </c>
      <c r="B47" s="50">
        <f ca="1">NOW()</f>
        <v>44725.649194097219</v>
      </c>
      <c r="C47" s="19"/>
      <c r="D47" s="19"/>
      <c r="E47" s="19"/>
      <c r="F47" s="93"/>
      <c r="G47" s="93"/>
      <c r="I47" s="94"/>
      <c r="J47" s="94"/>
    </row>
    <row r="48" spans="1:10" ht="14.25" x14ac:dyDescent="0.2">
      <c r="F48" s="93"/>
      <c r="G48" s="93"/>
      <c r="I48" s="94"/>
      <c r="J48" s="94"/>
    </row>
    <row r="49" spans="6:10" ht="14.25" x14ac:dyDescent="0.2">
      <c r="F49" s="93"/>
      <c r="G49" s="93"/>
      <c r="I49" s="89"/>
      <c r="J49" s="89"/>
    </row>
    <row r="50" spans="6:10" x14ac:dyDescent="0.2">
      <c r="I50" s="89"/>
      <c r="J50" s="89"/>
    </row>
    <row r="51" spans="6:10" x14ac:dyDescent="0.2">
      <c r="I51" s="89"/>
      <c r="J51" s="89"/>
    </row>
    <row r="52" spans="6:10" x14ac:dyDescent="0.2">
      <c r="I52" s="89"/>
      <c r="J52" s="89"/>
    </row>
    <row r="53" spans="6:10" x14ac:dyDescent="0.2">
      <c r="I53" s="89"/>
      <c r="J53" s="89"/>
    </row>
    <row r="54" spans="6:10" x14ac:dyDescent="0.2">
      <c r="I54" s="89"/>
      <c r="J54" s="89"/>
    </row>
    <row r="56" spans="6:10" x14ac:dyDescent="0.2">
      <c r="I56" s="95"/>
      <c r="J56" s="95"/>
    </row>
    <row r="57" spans="6:10" x14ac:dyDescent="0.2">
      <c r="I57" s="95"/>
      <c r="J57" s="95"/>
    </row>
  </sheetData>
  <phoneticPr fontId="12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8F99-5981-4828-9F4D-DFFF59C3BBA8}">
  <dimension ref="A1:N91"/>
  <sheetViews>
    <sheetView zoomScale="90" zoomScaleNormal="90" workbookViewId="0"/>
  </sheetViews>
  <sheetFormatPr defaultColWidth="9.140625" defaultRowHeight="12.75" x14ac:dyDescent="0.2"/>
  <cols>
    <col min="1" max="1" width="16" customWidth="1"/>
    <col min="2" max="2" width="23.5703125" bestFit="1" customWidth="1"/>
    <col min="3" max="14" width="7.85546875" customWidth="1"/>
  </cols>
  <sheetData>
    <row r="1" spans="1:14" ht="15" x14ac:dyDescent="0.25">
      <c r="A1" s="160" t="s">
        <v>155</v>
      </c>
      <c r="B1" s="160" t="s">
        <v>180</v>
      </c>
      <c r="C1" s="160" t="s">
        <v>185</v>
      </c>
      <c r="D1" s="160" t="s">
        <v>186</v>
      </c>
      <c r="E1" s="160" t="s">
        <v>187</v>
      </c>
      <c r="F1" s="161" t="s">
        <v>188</v>
      </c>
      <c r="G1" s="160" t="s">
        <v>189</v>
      </c>
      <c r="H1" s="160" t="s">
        <v>190</v>
      </c>
      <c r="I1" s="160" t="s">
        <v>191</v>
      </c>
      <c r="J1" s="160" t="s">
        <v>192</v>
      </c>
      <c r="K1" s="160" t="s">
        <v>47</v>
      </c>
      <c r="L1" s="160" t="s">
        <v>193</v>
      </c>
      <c r="M1" s="160" t="s">
        <v>50</v>
      </c>
      <c r="N1" s="160" t="s">
        <v>172</v>
      </c>
    </row>
    <row r="2" spans="1:14" ht="14.25" x14ac:dyDescent="0.2">
      <c r="A2" s="171" t="s">
        <v>34</v>
      </c>
      <c r="B2" s="152" t="s">
        <v>181</v>
      </c>
      <c r="C2" s="162">
        <v>264.23447091821879</v>
      </c>
      <c r="D2" s="162">
        <v>427.56467259512539</v>
      </c>
      <c r="E2" s="162">
        <v>399.30608440667976</v>
      </c>
      <c r="F2" s="162">
        <v>383.79534805816775</v>
      </c>
      <c r="G2" s="162">
        <v>319.54313196476244</v>
      </c>
      <c r="H2" s="162">
        <v>167.50381317690997</v>
      </c>
      <c r="I2" s="162">
        <v>84.331290598918571</v>
      </c>
      <c r="J2" s="162">
        <v>50.887260987165448</v>
      </c>
      <c r="K2" s="162">
        <v>46.542710397949364</v>
      </c>
      <c r="L2" s="162">
        <v>34.006215728595187</v>
      </c>
      <c r="M2" s="162">
        <v>34.752366579963166</v>
      </c>
      <c r="N2" s="162">
        <v>48.085861721415597</v>
      </c>
    </row>
    <row r="3" spans="1:14" ht="14.25" x14ac:dyDescent="0.2">
      <c r="A3" s="171"/>
      <c r="B3" s="152" t="s">
        <v>182</v>
      </c>
      <c r="C3" s="162">
        <v>156.54966434683462</v>
      </c>
      <c r="D3" s="162">
        <v>88.995250587691302</v>
      </c>
      <c r="E3" s="162">
        <v>52.739166034191655</v>
      </c>
      <c r="F3" s="162">
        <v>10.071010077842663</v>
      </c>
      <c r="G3" s="162">
        <v>1.818629942948333</v>
      </c>
      <c r="H3" s="162">
        <v>97.211695373879635</v>
      </c>
      <c r="I3" s="162">
        <v>466.43718857655693</v>
      </c>
      <c r="J3" s="162">
        <v>592.14884892080386</v>
      </c>
      <c r="K3" s="162">
        <v>549.84537428951319</v>
      </c>
      <c r="L3" s="162">
        <v>406.65293049789329</v>
      </c>
      <c r="M3" s="162">
        <v>318.54309309810424</v>
      </c>
      <c r="N3" s="162">
        <v>238.23589281872961</v>
      </c>
    </row>
    <row r="4" spans="1:14" ht="14.25" x14ac:dyDescent="0.2">
      <c r="A4" s="171" t="s">
        <v>53</v>
      </c>
      <c r="B4" s="152" t="s">
        <v>183</v>
      </c>
      <c r="C4" s="162">
        <v>79.647165661914912</v>
      </c>
      <c r="D4" s="162">
        <v>386.06506216102326</v>
      </c>
      <c r="E4" s="162">
        <v>393.25391397217442</v>
      </c>
      <c r="F4" s="162">
        <v>297.92088408955675</v>
      </c>
      <c r="G4" s="162">
        <v>234.86977579449569</v>
      </c>
      <c r="H4" s="162">
        <v>139.30480124039889</v>
      </c>
      <c r="I4" s="162">
        <v>117.00743545464157</v>
      </c>
      <c r="J4" s="162">
        <v>134.3808795010178</v>
      </c>
      <c r="K4" s="162"/>
      <c r="L4" s="162"/>
      <c r="M4" s="162"/>
      <c r="N4" s="162"/>
    </row>
    <row r="5" spans="1:14" ht="14.25" x14ac:dyDescent="0.2">
      <c r="A5" s="171"/>
      <c r="B5" s="152" t="s">
        <v>184</v>
      </c>
      <c r="C5" s="162">
        <v>177.36560089374365</v>
      </c>
      <c r="D5" s="162">
        <v>120.99321678179197</v>
      </c>
      <c r="E5" s="162">
        <v>95.052708442113655</v>
      </c>
      <c r="F5" s="162">
        <v>99.750061114837322</v>
      </c>
      <c r="G5" s="162">
        <v>90.198349895135635</v>
      </c>
      <c r="H5" s="162">
        <v>230.59863913852561</v>
      </c>
      <c r="I5" s="162">
        <v>447.92640544111993</v>
      </c>
      <c r="J5" s="162">
        <v>422.04869210240128</v>
      </c>
      <c r="K5" s="162"/>
      <c r="L5" s="162"/>
      <c r="M5" s="162"/>
      <c r="N5" s="162"/>
    </row>
    <row r="6" spans="1:14" ht="15" x14ac:dyDescent="0.25">
      <c r="A6" s="151"/>
      <c r="B6" s="151"/>
      <c r="C6" s="144"/>
      <c r="D6" s="145"/>
      <c r="E6" s="146"/>
      <c r="F6" s="146"/>
    </row>
    <row r="7" spans="1:14" ht="15" x14ac:dyDescent="0.25">
      <c r="A7" s="151"/>
      <c r="B7" s="151"/>
      <c r="C7" s="144"/>
      <c r="D7" s="145"/>
      <c r="E7" s="146"/>
      <c r="F7" s="146"/>
    </row>
    <row r="8" spans="1:14" ht="15" x14ac:dyDescent="0.25">
      <c r="A8" s="151"/>
      <c r="B8" s="151"/>
      <c r="C8" s="144"/>
      <c r="D8" s="145"/>
      <c r="E8" s="146"/>
      <c r="F8" s="146"/>
    </row>
    <row r="9" spans="1:14" ht="15" x14ac:dyDescent="0.25">
      <c r="A9" s="151"/>
      <c r="B9" s="151"/>
      <c r="C9" s="144"/>
      <c r="D9" s="145"/>
      <c r="E9" s="145"/>
      <c r="F9" s="145"/>
    </row>
    <row r="10" spans="1:14" ht="15" x14ac:dyDescent="0.25">
      <c r="A10" s="151"/>
      <c r="B10" s="151"/>
      <c r="C10" s="144"/>
      <c r="D10" s="145"/>
      <c r="E10" s="146"/>
      <c r="F10" s="146"/>
    </row>
    <row r="11" spans="1:14" ht="15" x14ac:dyDescent="0.25">
      <c r="A11" s="151"/>
      <c r="B11" s="151"/>
      <c r="C11" s="144"/>
      <c r="D11" s="145"/>
      <c r="E11" s="146"/>
      <c r="F11" s="146"/>
    </row>
    <row r="12" spans="1:14" ht="15" x14ac:dyDescent="0.25">
      <c r="A12" s="151"/>
      <c r="B12" s="151"/>
      <c r="C12" s="144"/>
      <c r="D12" s="145"/>
      <c r="E12" s="146"/>
      <c r="F12" s="146"/>
    </row>
    <row r="13" spans="1:14" ht="15" x14ac:dyDescent="0.25">
      <c r="A13" s="151"/>
      <c r="B13" s="151"/>
      <c r="C13" s="144"/>
      <c r="D13" s="145"/>
      <c r="E13" s="146"/>
      <c r="F13" s="146"/>
    </row>
    <row r="14" spans="1:14" ht="15" x14ac:dyDescent="0.25">
      <c r="A14" s="151"/>
      <c r="B14" s="151"/>
      <c r="C14" s="144"/>
      <c r="D14" s="145"/>
      <c r="E14" s="146"/>
      <c r="F14" s="146"/>
    </row>
    <row r="15" spans="1:14" ht="15" x14ac:dyDescent="0.25">
      <c r="A15" s="151"/>
      <c r="B15" s="151"/>
      <c r="C15" s="144"/>
      <c r="D15" s="145"/>
      <c r="E15" s="146"/>
      <c r="F15" s="146"/>
    </row>
    <row r="16" spans="1:14" ht="15" x14ac:dyDescent="0.25">
      <c r="A16" s="151"/>
      <c r="B16" s="151"/>
      <c r="C16" s="144"/>
      <c r="D16" s="145"/>
      <c r="E16" s="146"/>
      <c r="F16" s="146"/>
    </row>
    <row r="17" spans="1:6" ht="15" x14ac:dyDescent="0.25">
      <c r="A17" s="151"/>
      <c r="B17" s="151"/>
      <c r="C17" s="144"/>
      <c r="D17" s="145"/>
      <c r="E17" s="146"/>
      <c r="F17" s="146"/>
    </row>
    <row r="18" spans="1:6" ht="15" x14ac:dyDescent="0.25">
      <c r="A18" s="151"/>
      <c r="B18" s="151"/>
      <c r="C18" s="144"/>
      <c r="D18" s="145"/>
      <c r="E18" s="145"/>
      <c r="F18" s="145"/>
    </row>
    <row r="19" spans="1:6" ht="15" x14ac:dyDescent="0.25">
      <c r="A19" s="151"/>
      <c r="B19" s="151"/>
      <c r="C19" s="144"/>
      <c r="D19" s="145"/>
      <c r="E19" s="146"/>
      <c r="F19" s="146"/>
    </row>
    <row r="20" spans="1:6" ht="15" x14ac:dyDescent="0.25">
      <c r="A20" s="151"/>
      <c r="B20" s="151"/>
      <c r="C20" s="144"/>
      <c r="D20" s="145"/>
      <c r="E20" s="146"/>
      <c r="F20" s="146"/>
    </row>
    <row r="21" spans="1:6" ht="15" x14ac:dyDescent="0.25">
      <c r="A21" s="151"/>
      <c r="B21" s="151"/>
      <c r="C21" s="144"/>
      <c r="D21" s="145"/>
      <c r="E21" s="146"/>
      <c r="F21" s="146"/>
    </row>
    <row r="22" spans="1:6" ht="15" x14ac:dyDescent="0.25">
      <c r="A22" s="151"/>
      <c r="B22" s="151"/>
      <c r="C22" s="144"/>
      <c r="D22" s="145"/>
      <c r="E22" s="146"/>
      <c r="F22" s="146"/>
    </row>
    <row r="23" spans="1:6" ht="15" x14ac:dyDescent="0.25">
      <c r="A23" s="151"/>
      <c r="B23" s="151"/>
      <c r="C23" s="144"/>
      <c r="D23" s="145"/>
      <c r="E23" s="146"/>
      <c r="F23" s="146"/>
    </row>
    <row r="24" spans="1:6" ht="15" x14ac:dyDescent="0.25">
      <c r="A24" s="151"/>
      <c r="B24" s="151"/>
      <c r="C24" s="144"/>
      <c r="D24" s="145"/>
      <c r="E24" s="146"/>
      <c r="F24" s="146"/>
    </row>
    <row r="25" spans="1:6" ht="15" x14ac:dyDescent="0.25">
      <c r="A25" s="151"/>
      <c r="B25" s="151"/>
      <c r="C25" s="144"/>
      <c r="D25" s="145"/>
      <c r="E25" s="146"/>
      <c r="F25" s="146"/>
    </row>
    <row r="26" spans="1:6" ht="15" x14ac:dyDescent="0.25">
      <c r="A26" s="151"/>
      <c r="B26" s="151"/>
      <c r="C26" s="144"/>
      <c r="D26" s="145"/>
      <c r="E26" s="146"/>
      <c r="F26" s="146"/>
    </row>
    <row r="27" spans="1:6" ht="15" x14ac:dyDescent="0.25">
      <c r="A27" s="151"/>
      <c r="B27" s="151"/>
      <c r="C27" s="144"/>
      <c r="D27" s="145"/>
      <c r="E27" s="145"/>
      <c r="F27" s="145"/>
    </row>
    <row r="28" spans="1:6" ht="15" x14ac:dyDescent="0.25">
      <c r="A28" s="151"/>
      <c r="B28" s="151"/>
      <c r="C28" s="144"/>
      <c r="D28" s="145"/>
      <c r="E28" s="146"/>
      <c r="F28" s="146"/>
    </row>
    <row r="29" spans="1:6" x14ac:dyDescent="0.2">
      <c r="A29" s="121"/>
      <c r="B29" s="121"/>
      <c r="C29" s="121"/>
      <c r="D29" s="121"/>
    </row>
    <row r="30" spans="1:6" x14ac:dyDescent="0.2">
      <c r="A30" s="121"/>
      <c r="B30" s="121"/>
      <c r="C30" s="121"/>
      <c r="D30" s="121"/>
    </row>
    <row r="31" spans="1:6" x14ac:dyDescent="0.2">
      <c r="A31" s="121"/>
      <c r="B31" s="121"/>
      <c r="C31" s="121"/>
      <c r="D31" s="121"/>
    </row>
    <row r="32" spans="1:6" x14ac:dyDescent="0.2">
      <c r="A32" s="121"/>
      <c r="B32" s="121"/>
      <c r="C32" s="121"/>
      <c r="D32" s="121"/>
    </row>
    <row r="33" spans="1:4" x14ac:dyDescent="0.2">
      <c r="A33" s="121"/>
      <c r="B33" s="121"/>
      <c r="C33" s="121"/>
      <c r="D33" s="121"/>
    </row>
    <row r="34" spans="1:4" x14ac:dyDescent="0.2">
      <c r="A34" s="121"/>
      <c r="B34" s="121"/>
      <c r="C34" s="121"/>
      <c r="D34" s="121"/>
    </row>
    <row r="35" spans="1:4" x14ac:dyDescent="0.2">
      <c r="A35" s="121"/>
      <c r="B35" s="121"/>
      <c r="C35" s="121"/>
      <c r="D35" s="121"/>
    </row>
    <row r="36" spans="1:4" x14ac:dyDescent="0.2">
      <c r="A36" s="121"/>
      <c r="B36" s="121"/>
      <c r="C36" s="121"/>
      <c r="D36" s="121"/>
    </row>
    <row r="37" spans="1:4" x14ac:dyDescent="0.2">
      <c r="A37" s="121"/>
      <c r="B37" s="121"/>
      <c r="C37" s="121"/>
      <c r="D37" s="121"/>
    </row>
    <row r="38" spans="1:4" x14ac:dyDescent="0.2">
      <c r="A38" s="121"/>
      <c r="B38" s="121"/>
      <c r="C38" s="121"/>
      <c r="D38" s="121"/>
    </row>
    <row r="39" spans="1:4" x14ac:dyDescent="0.2">
      <c r="A39" s="121"/>
      <c r="B39" s="121"/>
      <c r="C39" s="121"/>
      <c r="D39" s="121"/>
    </row>
    <row r="40" spans="1:4" x14ac:dyDescent="0.2">
      <c r="A40" s="121"/>
      <c r="B40" s="121"/>
      <c r="C40" s="121"/>
      <c r="D40" s="121"/>
    </row>
    <row r="41" spans="1:4" x14ac:dyDescent="0.2">
      <c r="A41" s="121"/>
      <c r="B41" s="121"/>
      <c r="C41" s="121"/>
      <c r="D41" s="121"/>
    </row>
    <row r="42" spans="1:4" x14ac:dyDescent="0.2">
      <c r="A42" s="121"/>
      <c r="B42" s="121"/>
      <c r="C42" s="121"/>
      <c r="D42" s="121"/>
    </row>
    <row r="43" spans="1:4" x14ac:dyDescent="0.2">
      <c r="A43" s="121"/>
      <c r="B43" s="121"/>
      <c r="C43" s="121"/>
      <c r="D43" s="121"/>
    </row>
    <row r="44" spans="1:4" x14ac:dyDescent="0.2">
      <c r="A44" s="121"/>
      <c r="B44" s="121"/>
      <c r="C44" s="121"/>
      <c r="D44" s="121"/>
    </row>
    <row r="45" spans="1:4" x14ac:dyDescent="0.2">
      <c r="A45" s="121"/>
      <c r="B45" s="121"/>
      <c r="C45" s="121"/>
      <c r="D45" s="121"/>
    </row>
    <row r="46" spans="1:4" x14ac:dyDescent="0.2">
      <c r="A46" s="121"/>
      <c r="B46" s="121"/>
      <c r="C46" s="121"/>
      <c r="D46" s="121"/>
    </row>
    <row r="47" spans="1:4" x14ac:dyDescent="0.2">
      <c r="A47" s="121"/>
      <c r="B47" s="121"/>
      <c r="C47" s="121"/>
      <c r="D47" s="121"/>
    </row>
    <row r="48" spans="1:4" x14ac:dyDescent="0.2">
      <c r="A48" s="121"/>
      <c r="B48" s="121"/>
      <c r="C48" s="121"/>
      <c r="D48" s="121"/>
    </row>
    <row r="49" spans="1:4" x14ac:dyDescent="0.2">
      <c r="A49" s="121"/>
      <c r="B49" s="121"/>
      <c r="C49" s="121"/>
      <c r="D49" s="121"/>
    </row>
    <row r="50" spans="1:4" x14ac:dyDescent="0.2">
      <c r="A50" s="121"/>
      <c r="B50" s="121"/>
      <c r="C50" s="121"/>
      <c r="D50" s="121"/>
    </row>
    <row r="51" spans="1:4" x14ac:dyDescent="0.2">
      <c r="A51" s="121"/>
      <c r="B51" s="121"/>
      <c r="C51" s="121"/>
      <c r="D51" s="121"/>
    </row>
    <row r="52" spans="1:4" x14ac:dyDescent="0.2">
      <c r="A52" s="121"/>
      <c r="B52" s="121"/>
      <c r="C52" s="121"/>
      <c r="D52" s="121"/>
    </row>
    <row r="53" spans="1:4" x14ac:dyDescent="0.2">
      <c r="A53" s="121"/>
      <c r="B53" s="121"/>
      <c r="C53" s="121"/>
      <c r="D53" s="121"/>
    </row>
    <row r="54" spans="1:4" x14ac:dyDescent="0.2">
      <c r="A54" s="121"/>
      <c r="B54" s="121"/>
      <c r="C54" s="121"/>
      <c r="D54" s="121"/>
    </row>
    <row r="55" spans="1:4" x14ac:dyDescent="0.2">
      <c r="A55" s="121"/>
      <c r="B55" s="121"/>
      <c r="C55" s="121"/>
      <c r="D55" s="121"/>
    </row>
    <row r="56" spans="1:4" x14ac:dyDescent="0.2">
      <c r="A56" s="121"/>
      <c r="B56" s="121"/>
      <c r="C56" s="121"/>
      <c r="D56" s="121"/>
    </row>
    <row r="57" spans="1:4" x14ac:dyDescent="0.2">
      <c r="A57" s="121"/>
      <c r="B57" s="121"/>
      <c r="C57" s="121"/>
      <c r="D57" s="121"/>
    </row>
    <row r="58" spans="1:4" x14ac:dyDescent="0.2">
      <c r="A58" s="121"/>
      <c r="B58" s="121"/>
      <c r="C58" s="121"/>
      <c r="D58" s="121"/>
    </row>
    <row r="59" spans="1:4" x14ac:dyDescent="0.2">
      <c r="A59" s="121"/>
      <c r="B59" s="121"/>
      <c r="C59" s="121"/>
      <c r="D59" s="121"/>
    </row>
    <row r="60" spans="1:4" x14ac:dyDescent="0.2">
      <c r="A60" s="121"/>
      <c r="B60" s="121"/>
      <c r="C60" s="121"/>
      <c r="D60" s="121"/>
    </row>
    <row r="61" spans="1:4" x14ac:dyDescent="0.2">
      <c r="A61" s="121"/>
      <c r="B61" s="121"/>
      <c r="C61" s="121"/>
      <c r="D61" s="121"/>
    </row>
    <row r="62" spans="1:4" x14ac:dyDescent="0.2">
      <c r="A62" s="121"/>
      <c r="B62" s="121"/>
      <c r="C62" s="121"/>
      <c r="D62" s="121"/>
    </row>
    <row r="63" spans="1:4" x14ac:dyDescent="0.2">
      <c r="A63" s="121"/>
      <c r="B63" s="121"/>
      <c r="C63" s="121"/>
      <c r="D63" s="121"/>
    </row>
    <row r="64" spans="1:4" x14ac:dyDescent="0.2">
      <c r="A64" s="121"/>
      <c r="B64" s="121"/>
      <c r="C64" s="121"/>
      <c r="D64" s="121"/>
    </row>
    <row r="65" spans="1:4" x14ac:dyDescent="0.2">
      <c r="A65" s="121"/>
      <c r="B65" s="121"/>
      <c r="C65" s="121"/>
      <c r="D65" s="121"/>
    </row>
    <row r="66" spans="1:4" x14ac:dyDescent="0.2">
      <c r="A66" s="121"/>
      <c r="B66" s="121"/>
      <c r="C66" s="121"/>
      <c r="D66" s="121"/>
    </row>
    <row r="67" spans="1:4" x14ac:dyDescent="0.2">
      <c r="A67" s="121"/>
      <c r="B67" s="121"/>
      <c r="C67" s="121"/>
      <c r="D67" s="121"/>
    </row>
    <row r="68" spans="1:4" x14ac:dyDescent="0.2">
      <c r="A68" s="121"/>
      <c r="B68" s="121"/>
      <c r="C68" s="121"/>
      <c r="D68" s="121"/>
    </row>
    <row r="69" spans="1:4" x14ac:dyDescent="0.2">
      <c r="A69" s="121"/>
      <c r="B69" s="121"/>
      <c r="C69" s="121"/>
      <c r="D69" s="121"/>
    </row>
    <row r="70" spans="1:4" x14ac:dyDescent="0.2">
      <c r="A70" s="121"/>
      <c r="B70" s="121"/>
      <c r="C70" s="121"/>
      <c r="D70" s="121"/>
    </row>
    <row r="71" spans="1:4" x14ac:dyDescent="0.2">
      <c r="A71" s="121"/>
      <c r="B71" s="121"/>
      <c r="C71" s="121"/>
      <c r="D71" s="121"/>
    </row>
    <row r="72" spans="1:4" x14ac:dyDescent="0.2">
      <c r="A72" s="121"/>
      <c r="B72" s="121"/>
      <c r="C72" s="121"/>
      <c r="D72" s="121"/>
    </row>
    <row r="73" spans="1:4" x14ac:dyDescent="0.2">
      <c r="A73" s="121"/>
      <c r="B73" s="121"/>
      <c r="C73" s="121"/>
      <c r="D73" s="121"/>
    </row>
    <row r="74" spans="1:4" x14ac:dyDescent="0.2">
      <c r="A74" s="121"/>
      <c r="B74" s="121"/>
      <c r="C74" s="121"/>
      <c r="D74" s="121"/>
    </row>
    <row r="75" spans="1:4" x14ac:dyDescent="0.2">
      <c r="A75" s="121"/>
      <c r="B75" s="121"/>
      <c r="C75" s="121"/>
      <c r="D75" s="121"/>
    </row>
    <row r="76" spans="1:4" x14ac:dyDescent="0.2">
      <c r="A76" s="121"/>
      <c r="B76" s="121"/>
      <c r="C76" s="121"/>
      <c r="D76" s="121"/>
    </row>
    <row r="77" spans="1:4" x14ac:dyDescent="0.2">
      <c r="A77" s="121"/>
      <c r="B77" s="121"/>
      <c r="C77" s="121"/>
      <c r="D77" s="121"/>
    </row>
    <row r="78" spans="1:4" x14ac:dyDescent="0.2">
      <c r="A78" s="121"/>
      <c r="B78" s="121"/>
      <c r="C78" s="121"/>
      <c r="D78" s="121"/>
    </row>
    <row r="79" spans="1:4" x14ac:dyDescent="0.2">
      <c r="A79" s="121"/>
      <c r="B79" s="121"/>
      <c r="C79" s="121"/>
      <c r="D79" s="121"/>
    </row>
    <row r="80" spans="1:4" x14ac:dyDescent="0.2">
      <c r="A80" s="121"/>
      <c r="B80" s="121"/>
      <c r="C80" s="121"/>
      <c r="D80" s="121"/>
    </row>
    <row r="81" spans="1:4" x14ac:dyDescent="0.2">
      <c r="A81" s="121"/>
      <c r="B81" s="121"/>
      <c r="C81" s="121"/>
      <c r="D81" s="121"/>
    </row>
    <row r="82" spans="1:4" x14ac:dyDescent="0.2">
      <c r="A82" s="121"/>
      <c r="B82" s="121"/>
      <c r="C82" s="121"/>
      <c r="D82" s="121"/>
    </row>
    <row r="83" spans="1:4" x14ac:dyDescent="0.2">
      <c r="A83" s="121"/>
      <c r="B83" s="121"/>
      <c r="C83" s="121"/>
      <c r="D83" s="121"/>
    </row>
    <row r="84" spans="1:4" x14ac:dyDescent="0.2">
      <c r="A84" s="121"/>
      <c r="B84" s="121"/>
      <c r="C84" s="121"/>
      <c r="D84" s="121"/>
    </row>
    <row r="85" spans="1:4" x14ac:dyDescent="0.2">
      <c r="A85" s="121"/>
      <c r="B85" s="121"/>
      <c r="C85" s="121"/>
      <c r="D85" s="121"/>
    </row>
    <row r="86" spans="1:4" x14ac:dyDescent="0.2">
      <c r="A86" s="121"/>
      <c r="B86" s="121"/>
      <c r="C86" s="121"/>
      <c r="D86" s="121"/>
    </row>
    <row r="87" spans="1:4" x14ac:dyDescent="0.2">
      <c r="A87" s="121"/>
      <c r="B87" s="121"/>
      <c r="C87" s="121"/>
      <c r="D87" s="121"/>
    </row>
    <row r="88" spans="1:4" x14ac:dyDescent="0.2">
      <c r="A88" s="121"/>
      <c r="B88" s="121"/>
      <c r="C88" s="121"/>
      <c r="D88" s="121"/>
    </row>
    <row r="89" spans="1:4" x14ac:dyDescent="0.2">
      <c r="A89" s="121"/>
      <c r="B89" s="121"/>
      <c r="C89" s="121"/>
      <c r="D89" s="121"/>
    </row>
    <row r="90" spans="1:4" x14ac:dyDescent="0.2">
      <c r="A90" s="121"/>
      <c r="B90" s="121"/>
      <c r="C90" s="121"/>
      <c r="D90" s="121"/>
    </row>
    <row r="91" spans="1:4" x14ac:dyDescent="0.2">
      <c r="A91" s="121"/>
      <c r="B91" s="121"/>
      <c r="C91" s="121"/>
      <c r="D91" s="121"/>
    </row>
  </sheetData>
  <mergeCells count="2">
    <mergeCell ref="A2:A3"/>
    <mergeCell ref="A4:A5"/>
  </mergeCells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8A99-0751-432A-BD01-378E93189591}">
  <dimension ref="A1:E91"/>
  <sheetViews>
    <sheetView zoomScale="90" zoomScaleNormal="90" workbookViewId="0"/>
  </sheetViews>
  <sheetFormatPr defaultColWidth="9.140625" defaultRowHeight="12.75" x14ac:dyDescent="0.2"/>
  <cols>
    <col min="1" max="1" width="14.5703125" bestFit="1" customWidth="1"/>
    <col min="2" max="2" width="9.42578125" bestFit="1" customWidth="1"/>
    <col min="3" max="4" width="6.28515625" bestFit="1" customWidth="1"/>
    <col min="5" max="5" width="13.28515625" customWidth="1"/>
  </cols>
  <sheetData>
    <row r="1" spans="1:5" ht="30" x14ac:dyDescent="0.25">
      <c r="A1" s="142" t="s">
        <v>158</v>
      </c>
      <c r="B1" s="142" t="s">
        <v>159</v>
      </c>
      <c r="C1" s="142">
        <v>2021</v>
      </c>
      <c r="D1" s="142">
        <v>2022</v>
      </c>
      <c r="E1" s="143" t="s">
        <v>195</v>
      </c>
    </row>
    <row r="2" spans="1:5" ht="14.25" x14ac:dyDescent="0.2">
      <c r="A2" s="172" t="s">
        <v>160</v>
      </c>
      <c r="B2" s="154" t="s">
        <v>161</v>
      </c>
      <c r="C2" s="162">
        <v>0</v>
      </c>
      <c r="D2" s="163">
        <v>0</v>
      </c>
      <c r="E2" s="163">
        <v>0</v>
      </c>
    </row>
    <row r="3" spans="1:5" ht="14.25" x14ac:dyDescent="0.2">
      <c r="A3" s="172"/>
      <c r="B3" s="154" t="s">
        <v>162</v>
      </c>
      <c r="C3" s="162">
        <v>2</v>
      </c>
      <c r="D3" s="163">
        <v>0</v>
      </c>
      <c r="E3" s="163">
        <v>1</v>
      </c>
    </row>
    <row r="4" spans="1:5" ht="14.25" x14ac:dyDescent="0.2">
      <c r="A4" s="172"/>
      <c r="B4" s="154" t="s">
        <v>163</v>
      </c>
      <c r="C4" s="162">
        <v>23</v>
      </c>
      <c r="D4" s="163">
        <v>0</v>
      </c>
      <c r="E4" s="163">
        <v>9</v>
      </c>
    </row>
    <row r="5" spans="1:5" ht="14.25" x14ac:dyDescent="0.2">
      <c r="A5" s="172"/>
      <c r="B5" s="154" t="s">
        <v>164</v>
      </c>
      <c r="C5" s="162">
        <v>65</v>
      </c>
      <c r="D5" s="163">
        <v>2</v>
      </c>
      <c r="E5" s="163">
        <v>25</v>
      </c>
    </row>
    <row r="6" spans="1:5" ht="14.25" x14ac:dyDescent="0.2">
      <c r="A6" s="172"/>
      <c r="B6" s="154" t="s">
        <v>165</v>
      </c>
      <c r="C6" s="162">
        <v>88</v>
      </c>
      <c r="D6" s="163">
        <v>11</v>
      </c>
      <c r="E6" s="163">
        <v>47</v>
      </c>
    </row>
    <row r="7" spans="1:5" ht="14.25" x14ac:dyDescent="0.2">
      <c r="A7" s="172"/>
      <c r="B7" s="154" t="s">
        <v>166</v>
      </c>
      <c r="C7" s="162">
        <v>97</v>
      </c>
      <c r="D7" s="163">
        <v>32</v>
      </c>
      <c r="E7" s="163">
        <v>68</v>
      </c>
    </row>
    <row r="8" spans="1:5" ht="14.25" x14ac:dyDescent="0.2">
      <c r="A8" s="172"/>
      <c r="B8" s="154" t="s">
        <v>167</v>
      </c>
      <c r="C8" s="162">
        <v>99</v>
      </c>
      <c r="D8" s="163">
        <v>55</v>
      </c>
      <c r="E8" s="163">
        <v>80</v>
      </c>
    </row>
    <row r="9" spans="1:5" ht="14.25" x14ac:dyDescent="0.2">
      <c r="A9" s="172"/>
      <c r="B9" s="154" t="s">
        <v>168</v>
      </c>
      <c r="C9" s="162">
        <v>100</v>
      </c>
      <c r="D9" s="162">
        <v>72</v>
      </c>
      <c r="E9" s="162">
        <v>90</v>
      </c>
    </row>
    <row r="10" spans="1:5" ht="14.25" x14ac:dyDescent="0.2">
      <c r="A10" s="172"/>
      <c r="B10" s="154" t="s">
        <v>169</v>
      </c>
      <c r="C10" s="162">
        <v>100</v>
      </c>
      <c r="D10" s="163">
        <v>88</v>
      </c>
      <c r="E10" s="163">
        <v>96</v>
      </c>
    </row>
    <row r="11" spans="1:5" ht="14.25" x14ac:dyDescent="0.2">
      <c r="A11" s="172" t="s">
        <v>170</v>
      </c>
      <c r="B11" s="154" t="s">
        <v>161</v>
      </c>
      <c r="C11" s="162">
        <v>0</v>
      </c>
      <c r="D11" s="163">
        <v>0</v>
      </c>
      <c r="E11" s="163">
        <v>0</v>
      </c>
    </row>
    <row r="12" spans="1:5" ht="14.25" x14ac:dyDescent="0.2">
      <c r="A12" s="172"/>
      <c r="B12" s="154" t="s">
        <v>162</v>
      </c>
      <c r="C12" s="162">
        <v>0</v>
      </c>
      <c r="D12" s="163">
        <v>0</v>
      </c>
      <c r="E12" s="163">
        <v>0</v>
      </c>
    </row>
    <row r="13" spans="1:5" ht="14.25" x14ac:dyDescent="0.2">
      <c r="A13" s="172"/>
      <c r="B13" s="154" t="s">
        <v>163</v>
      </c>
      <c r="C13" s="162">
        <v>2</v>
      </c>
      <c r="D13" s="163">
        <v>0</v>
      </c>
      <c r="E13" s="163">
        <v>1</v>
      </c>
    </row>
    <row r="14" spans="1:5" ht="14.25" x14ac:dyDescent="0.2">
      <c r="A14" s="172"/>
      <c r="B14" s="154" t="s">
        <v>164</v>
      </c>
      <c r="C14" s="162">
        <v>17</v>
      </c>
      <c r="D14" s="163">
        <v>0</v>
      </c>
      <c r="E14" s="163">
        <v>6</v>
      </c>
    </row>
    <row r="15" spans="1:5" ht="14.25" x14ac:dyDescent="0.2">
      <c r="A15" s="172"/>
      <c r="B15" s="154" t="s">
        <v>165</v>
      </c>
      <c r="C15" s="162">
        <v>53</v>
      </c>
      <c r="D15" s="163">
        <v>2</v>
      </c>
      <c r="E15" s="163">
        <v>24</v>
      </c>
    </row>
    <row r="16" spans="1:5" ht="14.25" x14ac:dyDescent="0.2">
      <c r="A16" s="172"/>
      <c r="B16" s="154" t="s">
        <v>166</v>
      </c>
      <c r="C16" s="162">
        <v>75</v>
      </c>
      <c r="D16" s="163">
        <v>7</v>
      </c>
      <c r="E16" s="163">
        <v>47</v>
      </c>
    </row>
    <row r="17" spans="1:5" ht="14.25" x14ac:dyDescent="0.2">
      <c r="A17" s="172"/>
      <c r="B17" s="154" t="s">
        <v>167</v>
      </c>
      <c r="C17" s="162">
        <v>88</v>
      </c>
      <c r="D17" s="163">
        <v>23</v>
      </c>
      <c r="E17" s="163">
        <v>70</v>
      </c>
    </row>
    <row r="18" spans="1:5" ht="14.25" x14ac:dyDescent="0.2">
      <c r="A18" s="172"/>
      <c r="B18" s="154" t="s">
        <v>168</v>
      </c>
      <c r="C18" s="162">
        <v>95</v>
      </c>
      <c r="D18" s="162">
        <v>41</v>
      </c>
      <c r="E18" s="162">
        <v>85</v>
      </c>
    </row>
    <row r="19" spans="1:5" ht="14.25" x14ac:dyDescent="0.2">
      <c r="A19" s="172"/>
      <c r="B19" s="154" t="s">
        <v>169</v>
      </c>
      <c r="C19" s="162">
        <v>97</v>
      </c>
      <c r="D19" s="163">
        <v>75</v>
      </c>
      <c r="E19" s="163">
        <v>94</v>
      </c>
    </row>
    <row r="20" spans="1:5" ht="14.25" x14ac:dyDescent="0.2">
      <c r="A20" s="172" t="s">
        <v>171</v>
      </c>
      <c r="B20" s="154" t="s">
        <v>161</v>
      </c>
      <c r="C20" s="162">
        <v>3</v>
      </c>
      <c r="D20" s="163">
        <v>1</v>
      </c>
      <c r="E20" s="163">
        <v>2</v>
      </c>
    </row>
    <row r="21" spans="1:5" ht="14.25" x14ac:dyDescent="0.2">
      <c r="A21" s="172"/>
      <c r="B21" s="154" t="s">
        <v>162</v>
      </c>
      <c r="C21" s="162">
        <v>8</v>
      </c>
      <c r="D21" s="163">
        <v>3</v>
      </c>
      <c r="E21" s="163">
        <v>5</v>
      </c>
    </row>
    <row r="22" spans="1:5" ht="14.25" x14ac:dyDescent="0.2">
      <c r="A22" s="172"/>
      <c r="B22" s="154" t="s">
        <v>163</v>
      </c>
      <c r="C22" s="162">
        <v>24</v>
      </c>
      <c r="D22" s="163">
        <v>8</v>
      </c>
      <c r="E22" s="163">
        <v>13</v>
      </c>
    </row>
    <row r="23" spans="1:5" ht="14.25" x14ac:dyDescent="0.2">
      <c r="A23" s="172"/>
      <c r="B23" s="154" t="s">
        <v>164</v>
      </c>
      <c r="C23" s="162">
        <v>42</v>
      </c>
      <c r="D23" s="163">
        <v>12</v>
      </c>
      <c r="E23" s="163">
        <v>24</v>
      </c>
    </row>
    <row r="24" spans="1:5" ht="14.25" x14ac:dyDescent="0.2">
      <c r="A24" s="172"/>
      <c r="B24" s="154" t="s">
        <v>165</v>
      </c>
      <c r="C24" s="162">
        <v>61</v>
      </c>
      <c r="D24" s="163">
        <v>30</v>
      </c>
      <c r="E24" s="163">
        <v>39</v>
      </c>
    </row>
    <row r="25" spans="1:5" ht="14.25" x14ac:dyDescent="0.2">
      <c r="A25" s="172"/>
      <c r="B25" s="154" t="s">
        <v>166</v>
      </c>
      <c r="C25" s="162">
        <v>75</v>
      </c>
      <c r="D25" s="163">
        <v>50</v>
      </c>
      <c r="E25" s="163">
        <v>55</v>
      </c>
    </row>
    <row r="26" spans="1:5" ht="14.25" x14ac:dyDescent="0.2">
      <c r="A26" s="172"/>
      <c r="B26" s="154" t="s">
        <v>167</v>
      </c>
      <c r="C26" s="162">
        <v>84</v>
      </c>
      <c r="D26" s="163">
        <v>66</v>
      </c>
      <c r="E26" s="163">
        <v>67</v>
      </c>
    </row>
    <row r="27" spans="1:5" ht="14.25" x14ac:dyDescent="0.2">
      <c r="A27" s="172"/>
      <c r="B27" s="154" t="s">
        <v>168</v>
      </c>
      <c r="C27" s="162">
        <v>90</v>
      </c>
      <c r="D27" s="162">
        <v>78</v>
      </c>
      <c r="E27" s="162">
        <v>79</v>
      </c>
    </row>
    <row r="28" spans="1:5" ht="14.25" x14ac:dyDescent="0.2">
      <c r="A28" s="172"/>
      <c r="B28" s="154" t="s">
        <v>169</v>
      </c>
      <c r="C28" s="162">
        <v>93</v>
      </c>
      <c r="D28" s="163">
        <v>88</v>
      </c>
      <c r="E28" s="163">
        <v>88</v>
      </c>
    </row>
    <row r="29" spans="1:5" x14ac:dyDescent="0.2">
      <c r="A29" s="121"/>
      <c r="B29" s="121"/>
      <c r="C29" s="121"/>
    </row>
    <row r="30" spans="1:5" x14ac:dyDescent="0.2">
      <c r="A30" s="121"/>
      <c r="B30" s="121"/>
      <c r="C30" s="121"/>
    </row>
    <row r="31" spans="1:5" x14ac:dyDescent="0.2">
      <c r="A31" s="121"/>
      <c r="B31" s="121"/>
      <c r="C31" s="121"/>
    </row>
    <row r="32" spans="1:5" x14ac:dyDescent="0.2">
      <c r="A32" s="121"/>
      <c r="B32" s="121"/>
      <c r="C32" s="121"/>
    </row>
    <row r="33" spans="1:3" x14ac:dyDescent="0.2">
      <c r="A33" s="121"/>
      <c r="B33" s="121"/>
      <c r="C33" s="121"/>
    </row>
    <row r="34" spans="1:3" x14ac:dyDescent="0.2">
      <c r="A34" s="121"/>
      <c r="B34" s="121"/>
      <c r="C34" s="121"/>
    </row>
    <row r="35" spans="1:3" x14ac:dyDescent="0.2">
      <c r="A35" s="121"/>
      <c r="B35" s="121"/>
      <c r="C35" s="121"/>
    </row>
    <row r="36" spans="1:3" x14ac:dyDescent="0.2">
      <c r="A36" s="121"/>
      <c r="B36" s="121"/>
      <c r="C36" s="121"/>
    </row>
    <row r="37" spans="1:3" x14ac:dyDescent="0.2">
      <c r="A37" s="121"/>
      <c r="B37" s="121"/>
      <c r="C37" s="121"/>
    </row>
    <row r="38" spans="1:3" x14ac:dyDescent="0.2">
      <c r="A38" s="121"/>
      <c r="B38" s="121"/>
      <c r="C38" s="121"/>
    </row>
    <row r="39" spans="1:3" x14ac:dyDescent="0.2">
      <c r="A39" s="121"/>
      <c r="B39" s="121"/>
      <c r="C39" s="121"/>
    </row>
    <row r="40" spans="1:3" x14ac:dyDescent="0.2">
      <c r="A40" s="121"/>
      <c r="B40" s="121"/>
      <c r="C40" s="121"/>
    </row>
    <row r="41" spans="1:3" x14ac:dyDescent="0.2">
      <c r="A41" s="121"/>
      <c r="B41" s="121"/>
      <c r="C41" s="121"/>
    </row>
    <row r="42" spans="1:3" x14ac:dyDescent="0.2">
      <c r="A42" s="121"/>
      <c r="B42" s="121"/>
      <c r="C42" s="121"/>
    </row>
    <row r="43" spans="1:3" x14ac:dyDescent="0.2">
      <c r="A43" s="121"/>
      <c r="B43" s="121"/>
      <c r="C43" s="121"/>
    </row>
    <row r="44" spans="1:3" x14ac:dyDescent="0.2">
      <c r="A44" s="121"/>
      <c r="B44" s="121"/>
      <c r="C44" s="121"/>
    </row>
    <row r="45" spans="1:3" x14ac:dyDescent="0.2">
      <c r="A45" s="121"/>
      <c r="B45" s="121"/>
      <c r="C45" s="121"/>
    </row>
    <row r="46" spans="1:3" x14ac:dyDescent="0.2">
      <c r="A46" s="121"/>
      <c r="B46" s="121"/>
      <c r="C46" s="121"/>
    </row>
    <row r="47" spans="1:3" x14ac:dyDescent="0.2">
      <c r="A47" s="121"/>
      <c r="B47" s="121"/>
      <c r="C47" s="121"/>
    </row>
    <row r="48" spans="1:3" x14ac:dyDescent="0.2">
      <c r="A48" s="121"/>
      <c r="B48" s="121"/>
      <c r="C48" s="121"/>
    </row>
    <row r="49" spans="1:3" x14ac:dyDescent="0.2">
      <c r="A49" s="121"/>
      <c r="B49" s="121"/>
      <c r="C49" s="121"/>
    </row>
    <row r="50" spans="1:3" x14ac:dyDescent="0.2">
      <c r="A50" s="121"/>
      <c r="B50" s="121"/>
      <c r="C50" s="121"/>
    </row>
    <row r="51" spans="1:3" x14ac:dyDescent="0.2">
      <c r="A51" s="121"/>
      <c r="B51" s="121"/>
      <c r="C51" s="121"/>
    </row>
    <row r="52" spans="1:3" x14ac:dyDescent="0.2">
      <c r="A52" s="121"/>
      <c r="B52" s="121"/>
      <c r="C52" s="121"/>
    </row>
    <row r="53" spans="1:3" x14ac:dyDescent="0.2">
      <c r="A53" s="121"/>
      <c r="B53" s="121"/>
      <c r="C53" s="121"/>
    </row>
    <row r="54" spans="1:3" x14ac:dyDescent="0.2">
      <c r="A54" s="121"/>
      <c r="B54" s="121"/>
      <c r="C54" s="121"/>
    </row>
    <row r="55" spans="1:3" x14ac:dyDescent="0.2">
      <c r="A55" s="121"/>
      <c r="B55" s="121"/>
      <c r="C55" s="121"/>
    </row>
    <row r="56" spans="1:3" x14ac:dyDescent="0.2">
      <c r="A56" s="121"/>
      <c r="B56" s="121"/>
      <c r="C56" s="121"/>
    </row>
    <row r="57" spans="1:3" x14ac:dyDescent="0.2">
      <c r="A57" s="121"/>
      <c r="B57" s="121"/>
      <c r="C57" s="121"/>
    </row>
    <row r="58" spans="1:3" x14ac:dyDescent="0.2">
      <c r="A58" s="121"/>
      <c r="B58" s="121"/>
      <c r="C58" s="121"/>
    </row>
    <row r="59" spans="1:3" x14ac:dyDescent="0.2">
      <c r="A59" s="121"/>
      <c r="B59" s="121"/>
      <c r="C59" s="121"/>
    </row>
    <row r="60" spans="1:3" x14ac:dyDescent="0.2">
      <c r="A60" s="121"/>
      <c r="B60" s="121"/>
      <c r="C60" s="121"/>
    </row>
    <row r="61" spans="1:3" x14ac:dyDescent="0.2">
      <c r="A61" s="121"/>
      <c r="B61" s="121"/>
      <c r="C61" s="121"/>
    </row>
    <row r="62" spans="1:3" x14ac:dyDescent="0.2">
      <c r="A62" s="121"/>
      <c r="B62" s="121"/>
      <c r="C62" s="121"/>
    </row>
    <row r="63" spans="1:3" x14ac:dyDescent="0.2">
      <c r="A63" s="121"/>
      <c r="B63" s="121"/>
      <c r="C63" s="121"/>
    </row>
    <row r="64" spans="1:3" x14ac:dyDescent="0.2">
      <c r="A64" s="121"/>
      <c r="B64" s="121"/>
      <c r="C64" s="121"/>
    </row>
    <row r="65" spans="1:3" x14ac:dyDescent="0.2">
      <c r="A65" s="121"/>
      <c r="B65" s="121"/>
      <c r="C65" s="121"/>
    </row>
    <row r="66" spans="1:3" x14ac:dyDescent="0.2">
      <c r="A66" s="121"/>
      <c r="B66" s="121"/>
      <c r="C66" s="121"/>
    </row>
    <row r="67" spans="1:3" x14ac:dyDescent="0.2">
      <c r="A67" s="121"/>
      <c r="B67" s="121"/>
      <c r="C67" s="121"/>
    </row>
    <row r="68" spans="1:3" x14ac:dyDescent="0.2">
      <c r="A68" s="121"/>
      <c r="B68" s="121"/>
      <c r="C68" s="121"/>
    </row>
    <row r="69" spans="1:3" x14ac:dyDescent="0.2">
      <c r="A69" s="121"/>
      <c r="B69" s="121"/>
      <c r="C69" s="121"/>
    </row>
    <row r="70" spans="1:3" x14ac:dyDescent="0.2">
      <c r="A70" s="121"/>
      <c r="B70" s="121"/>
      <c r="C70" s="121"/>
    </row>
    <row r="71" spans="1:3" x14ac:dyDescent="0.2">
      <c r="A71" s="121"/>
      <c r="B71" s="121"/>
      <c r="C71" s="121"/>
    </row>
    <row r="72" spans="1:3" x14ac:dyDescent="0.2">
      <c r="A72" s="121"/>
      <c r="B72" s="121"/>
      <c r="C72" s="121"/>
    </row>
    <row r="73" spans="1:3" x14ac:dyDescent="0.2">
      <c r="A73" s="121"/>
      <c r="B73" s="121"/>
      <c r="C73" s="121"/>
    </row>
    <row r="74" spans="1:3" x14ac:dyDescent="0.2">
      <c r="A74" s="121"/>
      <c r="B74" s="121"/>
      <c r="C74" s="121"/>
    </row>
    <row r="75" spans="1:3" x14ac:dyDescent="0.2">
      <c r="A75" s="121"/>
      <c r="B75" s="121"/>
      <c r="C75" s="121"/>
    </row>
    <row r="76" spans="1:3" x14ac:dyDescent="0.2">
      <c r="A76" s="121"/>
      <c r="B76" s="121"/>
      <c r="C76" s="121"/>
    </row>
    <row r="77" spans="1:3" x14ac:dyDescent="0.2">
      <c r="A77" s="121"/>
      <c r="B77" s="121"/>
      <c r="C77" s="121"/>
    </row>
    <row r="78" spans="1:3" x14ac:dyDescent="0.2">
      <c r="A78" s="121"/>
      <c r="B78" s="121"/>
      <c r="C78" s="121"/>
    </row>
    <row r="79" spans="1:3" x14ac:dyDescent="0.2">
      <c r="A79" s="121"/>
      <c r="B79" s="121"/>
      <c r="C79" s="121"/>
    </row>
    <row r="80" spans="1:3" x14ac:dyDescent="0.2">
      <c r="A80" s="121"/>
      <c r="B80" s="121"/>
      <c r="C80" s="121"/>
    </row>
    <row r="81" spans="1:3" x14ac:dyDescent="0.2">
      <c r="A81" s="121"/>
      <c r="B81" s="121"/>
      <c r="C81" s="121"/>
    </row>
    <row r="82" spans="1:3" x14ac:dyDescent="0.2">
      <c r="A82" s="121"/>
      <c r="B82" s="121"/>
      <c r="C82" s="121"/>
    </row>
    <row r="83" spans="1:3" x14ac:dyDescent="0.2">
      <c r="A83" s="121"/>
      <c r="B83" s="121"/>
      <c r="C83" s="121"/>
    </row>
    <row r="84" spans="1:3" x14ac:dyDescent="0.2">
      <c r="A84" s="121"/>
      <c r="B84" s="121"/>
      <c r="C84" s="121"/>
    </row>
    <row r="85" spans="1:3" x14ac:dyDescent="0.2">
      <c r="A85" s="121"/>
      <c r="B85" s="121"/>
      <c r="C85" s="121"/>
    </row>
    <row r="86" spans="1:3" x14ac:dyDescent="0.2">
      <c r="A86" s="121"/>
      <c r="B86" s="121"/>
      <c r="C86" s="121"/>
    </row>
    <row r="87" spans="1:3" x14ac:dyDescent="0.2">
      <c r="A87" s="121"/>
      <c r="B87" s="121"/>
      <c r="C87" s="121"/>
    </row>
    <row r="88" spans="1:3" x14ac:dyDescent="0.2">
      <c r="A88" s="121"/>
      <c r="B88" s="121"/>
      <c r="C88" s="121"/>
    </row>
    <row r="89" spans="1:3" x14ac:dyDescent="0.2">
      <c r="A89" s="121"/>
      <c r="B89" s="121"/>
      <c r="C89" s="121"/>
    </row>
    <row r="90" spans="1:3" x14ac:dyDescent="0.2">
      <c r="A90" s="121"/>
      <c r="B90" s="121"/>
      <c r="C90" s="121"/>
    </row>
    <row r="91" spans="1:3" x14ac:dyDescent="0.2">
      <c r="A91" s="121"/>
      <c r="B91" s="121"/>
      <c r="C91" s="121"/>
    </row>
  </sheetData>
  <mergeCells count="3">
    <mergeCell ref="A2:A10"/>
    <mergeCell ref="A11:A19"/>
    <mergeCell ref="A20:A28"/>
  </mergeCells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2FAB-AB6B-47CF-A52E-7A7E5BDE7299}">
  <dimension ref="A1:F85"/>
  <sheetViews>
    <sheetView zoomScale="90" zoomScaleNormal="90" workbookViewId="0"/>
  </sheetViews>
  <sheetFormatPr defaultColWidth="9.140625" defaultRowHeight="12.75" x14ac:dyDescent="0.2"/>
  <cols>
    <col min="1" max="1" width="13.42578125" style="129" bestFit="1" customWidth="1"/>
    <col min="2" max="2" width="13.42578125" style="129" customWidth="1"/>
    <col min="3" max="3" width="12.140625" style="122" bestFit="1" customWidth="1"/>
    <col min="4" max="4" width="8.85546875" style="122" bestFit="1" customWidth="1"/>
    <col min="5" max="5" width="8.7109375" style="122" bestFit="1" customWidth="1"/>
    <col min="6" max="16384" width="9.140625" style="122"/>
  </cols>
  <sheetData>
    <row r="1" spans="1:6" ht="30" x14ac:dyDescent="0.25">
      <c r="A1" s="155" t="s">
        <v>155</v>
      </c>
      <c r="B1" s="155" t="s">
        <v>179</v>
      </c>
      <c r="C1" s="158" t="s">
        <v>26</v>
      </c>
      <c r="D1" s="158" t="s">
        <v>30</v>
      </c>
      <c r="E1" s="158" t="s">
        <v>21</v>
      </c>
      <c r="F1" s="139"/>
    </row>
    <row r="2" spans="1:6" ht="14.25" x14ac:dyDescent="0.2">
      <c r="A2" s="154" t="s">
        <v>109</v>
      </c>
      <c r="B2" s="163">
        <v>146</v>
      </c>
      <c r="C2" s="163">
        <v>9800</v>
      </c>
      <c r="D2" s="163">
        <v>282</v>
      </c>
      <c r="E2" s="163">
        <v>9400</v>
      </c>
    </row>
    <row r="3" spans="1:6" ht="14.25" x14ac:dyDescent="0.2">
      <c r="A3" s="154" t="s">
        <v>110</v>
      </c>
      <c r="B3" s="163">
        <v>151</v>
      </c>
      <c r="C3" s="163">
        <v>9000</v>
      </c>
      <c r="D3" s="163">
        <v>127</v>
      </c>
      <c r="E3" s="163">
        <v>8600</v>
      </c>
    </row>
    <row r="4" spans="1:6" ht="14.25" x14ac:dyDescent="0.2">
      <c r="A4" s="154" t="s">
        <v>111</v>
      </c>
      <c r="B4" s="163">
        <v>314</v>
      </c>
      <c r="C4" s="163">
        <v>11600</v>
      </c>
      <c r="D4" s="163">
        <v>70</v>
      </c>
      <c r="E4" s="163">
        <v>11250</v>
      </c>
    </row>
    <row r="5" spans="1:6" ht="14.25" x14ac:dyDescent="0.2">
      <c r="A5" s="154" t="s">
        <v>112</v>
      </c>
      <c r="B5" s="163">
        <v>449</v>
      </c>
      <c r="C5" s="163">
        <v>10200</v>
      </c>
      <c r="D5" s="163">
        <v>45</v>
      </c>
      <c r="E5" s="163">
        <v>10300</v>
      </c>
    </row>
    <row r="6" spans="1:6" ht="14.25" x14ac:dyDescent="0.2">
      <c r="A6" s="154" t="s">
        <v>113</v>
      </c>
      <c r="B6" s="163">
        <v>149</v>
      </c>
      <c r="C6" s="163">
        <v>11900</v>
      </c>
      <c r="D6" s="163">
        <v>83</v>
      </c>
      <c r="E6" s="163">
        <v>11650</v>
      </c>
    </row>
    <row r="7" spans="1:6" ht="14.25" x14ac:dyDescent="0.2">
      <c r="A7" s="154" t="s">
        <v>114</v>
      </c>
      <c r="B7" s="163">
        <v>168</v>
      </c>
      <c r="C7" s="163">
        <v>15200</v>
      </c>
      <c r="D7" s="163">
        <v>191</v>
      </c>
      <c r="E7" s="163">
        <v>14600</v>
      </c>
    </row>
    <row r="8" spans="1:6" ht="14.25" x14ac:dyDescent="0.2">
      <c r="A8" s="154" t="s">
        <v>115</v>
      </c>
      <c r="B8" s="163">
        <v>421</v>
      </c>
      <c r="C8" s="163">
        <v>13700</v>
      </c>
      <c r="D8" s="163">
        <v>39</v>
      </c>
      <c r="E8" s="163">
        <v>13750</v>
      </c>
    </row>
    <row r="9" spans="1:6" ht="14.25" x14ac:dyDescent="0.2">
      <c r="A9" s="154" t="s">
        <v>116</v>
      </c>
      <c r="B9" s="163">
        <v>172</v>
      </c>
      <c r="C9" s="163">
        <v>15000</v>
      </c>
      <c r="D9" s="163">
        <v>105</v>
      </c>
      <c r="E9" s="163">
        <v>14800</v>
      </c>
    </row>
    <row r="10" spans="1:6" ht="14.25" x14ac:dyDescent="0.2">
      <c r="A10" s="154" t="s">
        <v>117</v>
      </c>
      <c r="B10" s="163">
        <v>140</v>
      </c>
      <c r="C10" s="163">
        <v>16500</v>
      </c>
      <c r="D10" s="163">
        <v>53</v>
      </c>
      <c r="E10" s="163">
        <v>16425</v>
      </c>
    </row>
    <row r="11" spans="1:6" ht="14.25" x14ac:dyDescent="0.2">
      <c r="A11" s="154" t="s">
        <v>34</v>
      </c>
      <c r="B11" s="163">
        <v>58</v>
      </c>
      <c r="C11" s="163">
        <v>14100</v>
      </c>
      <c r="D11" s="163">
        <v>191</v>
      </c>
      <c r="E11" s="163">
        <v>13750</v>
      </c>
    </row>
    <row r="12" spans="1:6" ht="14.25" x14ac:dyDescent="0.2">
      <c r="A12" s="154" t="s">
        <v>53</v>
      </c>
      <c r="B12" s="163">
        <v>141</v>
      </c>
      <c r="C12" s="163">
        <v>17500</v>
      </c>
      <c r="D12" s="163">
        <v>1000</v>
      </c>
      <c r="E12" s="163">
        <v>10500</v>
      </c>
    </row>
    <row r="13" spans="1:6" ht="14.25" x14ac:dyDescent="0.2">
      <c r="A13" s="154" t="s">
        <v>176</v>
      </c>
      <c r="B13" s="163">
        <v>4551</v>
      </c>
      <c r="C13" s="163">
        <v>11000</v>
      </c>
      <c r="D13" s="163">
        <v>750</v>
      </c>
      <c r="E13" s="163">
        <v>9750</v>
      </c>
    </row>
    <row r="14" spans="1:6" ht="14.25" x14ac:dyDescent="0.2">
      <c r="A14" s="154" t="s">
        <v>178</v>
      </c>
      <c r="B14" s="163">
        <v>5401</v>
      </c>
      <c r="C14" s="163">
        <v>9500</v>
      </c>
      <c r="D14" s="163">
        <v>750</v>
      </c>
      <c r="E14" s="163">
        <v>9500</v>
      </c>
    </row>
    <row r="15" spans="1:6" x14ac:dyDescent="0.2">
      <c r="C15" s="128"/>
      <c r="D15" s="128"/>
      <c r="E15" s="128"/>
    </row>
    <row r="16" spans="1:6" x14ac:dyDescent="0.2">
      <c r="C16" s="128"/>
      <c r="D16" s="128"/>
      <c r="E16" s="128"/>
    </row>
    <row r="17" spans="3:5" x14ac:dyDescent="0.2">
      <c r="C17" s="128"/>
      <c r="D17" s="128"/>
      <c r="E17" s="128"/>
    </row>
    <row r="18" spans="3:5" x14ac:dyDescent="0.2">
      <c r="C18" s="128"/>
      <c r="D18" s="128"/>
      <c r="E18" s="128"/>
    </row>
    <row r="19" spans="3:5" x14ac:dyDescent="0.2">
      <c r="C19" s="128"/>
      <c r="D19" s="128"/>
      <c r="E19" s="128"/>
    </row>
    <row r="20" spans="3:5" x14ac:dyDescent="0.2">
      <c r="C20" s="123"/>
    </row>
    <row r="21" spans="3:5" x14ac:dyDescent="0.2">
      <c r="C21" s="123"/>
    </row>
    <row r="22" spans="3:5" x14ac:dyDescent="0.2">
      <c r="C22" s="123"/>
    </row>
    <row r="23" spans="3:5" x14ac:dyDescent="0.2">
      <c r="C23" s="123"/>
    </row>
    <row r="24" spans="3:5" x14ac:dyDescent="0.2">
      <c r="C24" s="123"/>
    </row>
    <row r="25" spans="3:5" x14ac:dyDescent="0.2">
      <c r="C25" s="123"/>
    </row>
    <row r="26" spans="3:5" x14ac:dyDescent="0.2">
      <c r="C26" s="123"/>
    </row>
    <row r="27" spans="3:5" x14ac:dyDescent="0.2">
      <c r="C27" s="123"/>
    </row>
    <row r="28" spans="3:5" x14ac:dyDescent="0.2">
      <c r="C28" s="123"/>
    </row>
    <row r="29" spans="3:5" x14ac:dyDescent="0.2">
      <c r="C29" s="123"/>
    </row>
    <row r="30" spans="3:5" x14ac:dyDescent="0.2">
      <c r="C30" s="123"/>
    </row>
    <row r="31" spans="3:5" x14ac:dyDescent="0.2">
      <c r="C31" s="123"/>
    </row>
    <row r="32" spans="3:5" x14ac:dyDescent="0.2">
      <c r="C32" s="123"/>
    </row>
    <row r="33" spans="3:3" x14ac:dyDescent="0.2">
      <c r="C33" s="123"/>
    </row>
    <row r="34" spans="3:3" x14ac:dyDescent="0.2">
      <c r="C34" s="123"/>
    </row>
    <row r="35" spans="3:3" x14ac:dyDescent="0.2">
      <c r="C35" s="123"/>
    </row>
    <row r="36" spans="3:3" x14ac:dyDescent="0.2">
      <c r="C36" s="123"/>
    </row>
    <row r="37" spans="3:3" x14ac:dyDescent="0.2">
      <c r="C37" s="123"/>
    </row>
    <row r="38" spans="3:3" x14ac:dyDescent="0.2">
      <c r="C38" s="123"/>
    </row>
    <row r="39" spans="3:3" x14ac:dyDescent="0.2">
      <c r="C39" s="123"/>
    </row>
    <row r="40" spans="3:3" x14ac:dyDescent="0.2">
      <c r="C40" s="123"/>
    </row>
    <row r="41" spans="3:3" x14ac:dyDescent="0.2">
      <c r="C41" s="123"/>
    </row>
    <row r="42" spans="3:3" x14ac:dyDescent="0.2">
      <c r="C42" s="123"/>
    </row>
    <row r="43" spans="3:3" x14ac:dyDescent="0.2">
      <c r="C43" s="123"/>
    </row>
    <row r="44" spans="3:3" x14ac:dyDescent="0.2">
      <c r="C44" s="123"/>
    </row>
    <row r="45" spans="3:3" x14ac:dyDescent="0.2">
      <c r="C45" s="123"/>
    </row>
    <row r="46" spans="3:3" x14ac:dyDescent="0.2">
      <c r="C46" s="123"/>
    </row>
    <row r="47" spans="3:3" x14ac:dyDescent="0.2">
      <c r="C47" s="123"/>
    </row>
    <row r="48" spans="3:3" x14ac:dyDescent="0.2">
      <c r="C48" s="123"/>
    </row>
    <row r="49" spans="3:3" x14ac:dyDescent="0.2">
      <c r="C49" s="123"/>
    </row>
    <row r="50" spans="3:3" x14ac:dyDescent="0.2">
      <c r="C50" s="123"/>
    </row>
    <row r="51" spans="3:3" x14ac:dyDescent="0.2">
      <c r="C51" s="123"/>
    </row>
    <row r="52" spans="3:3" x14ac:dyDescent="0.2">
      <c r="C52" s="123"/>
    </row>
    <row r="53" spans="3:3" x14ac:dyDescent="0.2">
      <c r="C53" s="123"/>
    </row>
    <row r="54" spans="3:3" x14ac:dyDescent="0.2">
      <c r="C54" s="123"/>
    </row>
    <row r="55" spans="3:3" x14ac:dyDescent="0.2">
      <c r="C55" s="123"/>
    </row>
    <row r="56" spans="3:3" x14ac:dyDescent="0.2">
      <c r="C56" s="123"/>
    </row>
    <row r="57" spans="3:3" x14ac:dyDescent="0.2">
      <c r="C57" s="123"/>
    </row>
    <row r="58" spans="3:3" x14ac:dyDescent="0.2">
      <c r="C58" s="123"/>
    </row>
    <row r="59" spans="3:3" x14ac:dyDescent="0.2">
      <c r="C59" s="123"/>
    </row>
    <row r="60" spans="3:3" x14ac:dyDescent="0.2">
      <c r="C60" s="123"/>
    </row>
    <row r="61" spans="3:3" x14ac:dyDescent="0.2">
      <c r="C61" s="123"/>
    </row>
    <row r="62" spans="3:3" x14ac:dyDescent="0.2">
      <c r="C62" s="123"/>
    </row>
    <row r="63" spans="3:3" x14ac:dyDescent="0.2">
      <c r="C63" s="123"/>
    </row>
    <row r="64" spans="3:3" x14ac:dyDescent="0.2">
      <c r="C64" s="123"/>
    </row>
    <row r="65" spans="3:3" x14ac:dyDescent="0.2">
      <c r="C65" s="123"/>
    </row>
    <row r="66" spans="3:3" x14ac:dyDescent="0.2">
      <c r="C66" s="123"/>
    </row>
    <row r="67" spans="3:3" x14ac:dyDescent="0.2">
      <c r="C67" s="123"/>
    </row>
    <row r="68" spans="3:3" x14ac:dyDescent="0.2">
      <c r="C68" s="123"/>
    </row>
    <row r="69" spans="3:3" x14ac:dyDescent="0.2">
      <c r="C69" s="123"/>
    </row>
    <row r="70" spans="3:3" x14ac:dyDescent="0.2">
      <c r="C70" s="123"/>
    </row>
    <row r="71" spans="3:3" x14ac:dyDescent="0.2">
      <c r="C71" s="123"/>
    </row>
    <row r="72" spans="3:3" x14ac:dyDescent="0.2">
      <c r="C72" s="123"/>
    </row>
    <row r="73" spans="3:3" x14ac:dyDescent="0.2">
      <c r="C73" s="123"/>
    </row>
    <row r="74" spans="3:3" x14ac:dyDescent="0.2">
      <c r="C74" s="123"/>
    </row>
    <row r="75" spans="3:3" x14ac:dyDescent="0.2">
      <c r="C75" s="123"/>
    </row>
    <row r="76" spans="3:3" x14ac:dyDescent="0.2">
      <c r="C76" s="123"/>
    </row>
    <row r="77" spans="3:3" x14ac:dyDescent="0.2">
      <c r="C77" s="123"/>
    </row>
    <row r="78" spans="3:3" x14ac:dyDescent="0.2">
      <c r="C78" s="123"/>
    </row>
    <row r="79" spans="3:3" x14ac:dyDescent="0.2">
      <c r="C79" s="123"/>
    </row>
    <row r="80" spans="3:3" x14ac:dyDescent="0.2">
      <c r="C80" s="123"/>
    </row>
    <row r="81" spans="3:3" x14ac:dyDescent="0.2">
      <c r="C81" s="123"/>
    </row>
    <row r="82" spans="3:3" x14ac:dyDescent="0.2">
      <c r="C82" s="123"/>
    </row>
    <row r="83" spans="3:3" x14ac:dyDescent="0.2">
      <c r="C83" s="123"/>
    </row>
    <row r="84" spans="3:3" x14ac:dyDescent="0.2">
      <c r="C84" s="123"/>
    </row>
    <row r="85" spans="3:3" x14ac:dyDescent="0.2">
      <c r="C85" s="123"/>
    </row>
  </sheetData>
  <phoneticPr fontId="12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F8FF-00CB-4838-B5EA-15FF2E6F5E55}">
  <dimension ref="A1:H11"/>
  <sheetViews>
    <sheetView zoomScale="90" zoomScaleNormal="90" workbookViewId="0"/>
  </sheetViews>
  <sheetFormatPr defaultColWidth="9.140625" defaultRowHeight="12.75" x14ac:dyDescent="0.2"/>
  <cols>
    <col min="1" max="1" width="13.42578125" style="129" bestFit="1" customWidth="1"/>
    <col min="2" max="2" width="13.42578125" style="129" customWidth="1"/>
    <col min="3" max="3" width="11.140625" style="122" customWidth="1"/>
    <col min="4" max="4" width="9.140625" style="122"/>
    <col min="5" max="5" width="11.140625" style="122" customWidth="1"/>
    <col min="9" max="16384" width="9.140625" style="122"/>
  </cols>
  <sheetData>
    <row r="1" spans="1:6" ht="45" x14ac:dyDescent="0.25">
      <c r="A1" s="155" t="s">
        <v>194</v>
      </c>
      <c r="B1" s="156" t="s">
        <v>173</v>
      </c>
      <c r="C1" s="156" t="s">
        <v>156</v>
      </c>
      <c r="D1" s="156" t="s">
        <v>157</v>
      </c>
      <c r="E1" s="156" t="s">
        <v>177</v>
      </c>
    </row>
    <row r="2" spans="1:6" ht="14.25" x14ac:dyDescent="0.2">
      <c r="A2" s="157" t="s">
        <v>113</v>
      </c>
      <c r="B2" s="162">
        <v>4689</v>
      </c>
      <c r="C2" s="162">
        <v>586</v>
      </c>
      <c r="D2" s="162">
        <v>768</v>
      </c>
      <c r="E2" s="162">
        <v>878</v>
      </c>
      <c r="F2" s="159"/>
    </row>
    <row r="3" spans="1:6" ht="14.25" x14ac:dyDescent="0.2">
      <c r="A3" s="157" t="s">
        <v>114</v>
      </c>
      <c r="B3" s="162">
        <v>4881</v>
      </c>
      <c r="C3" s="162">
        <v>711</v>
      </c>
      <c r="D3" s="162">
        <v>802</v>
      </c>
      <c r="E3" s="162">
        <v>725</v>
      </c>
      <c r="F3" s="159"/>
    </row>
    <row r="4" spans="1:6" ht="14.25" x14ac:dyDescent="0.2">
      <c r="A4" s="157" t="s">
        <v>115</v>
      </c>
      <c r="B4" s="162">
        <v>5320</v>
      </c>
      <c r="C4" s="162">
        <v>481</v>
      </c>
      <c r="D4" s="162">
        <v>1067</v>
      </c>
      <c r="E4" s="162">
        <v>785</v>
      </c>
      <c r="F4" s="159"/>
    </row>
    <row r="5" spans="1:6" ht="14.25" x14ac:dyDescent="0.2">
      <c r="A5" s="157" t="s">
        <v>116</v>
      </c>
      <c r="B5" s="162">
        <v>6795</v>
      </c>
      <c r="C5" s="162">
        <v>783</v>
      </c>
      <c r="D5" s="162">
        <v>1507</v>
      </c>
      <c r="E5" s="162">
        <v>1032</v>
      </c>
      <c r="F5" s="159"/>
    </row>
    <row r="6" spans="1:6" ht="14.25" x14ac:dyDescent="0.2">
      <c r="A6" s="157" t="s">
        <v>117</v>
      </c>
      <c r="B6" s="162">
        <v>6719</v>
      </c>
      <c r="C6" s="162">
        <v>1000</v>
      </c>
      <c r="D6" s="162">
        <v>1940</v>
      </c>
      <c r="E6" s="162">
        <v>1749</v>
      </c>
      <c r="F6" s="159"/>
    </row>
    <row r="7" spans="1:6" ht="14.25" x14ac:dyDescent="0.2">
      <c r="A7" s="157" t="s">
        <v>34</v>
      </c>
      <c r="B7" s="162">
        <v>6818</v>
      </c>
      <c r="C7" s="162">
        <v>1231</v>
      </c>
      <c r="D7" s="162">
        <v>2365</v>
      </c>
      <c r="E7" s="162">
        <v>1640</v>
      </c>
      <c r="F7" s="159"/>
    </row>
    <row r="8" spans="1:6" ht="14.25" x14ac:dyDescent="0.2">
      <c r="A8" s="157" t="s">
        <v>174</v>
      </c>
      <c r="B8" s="162">
        <v>5000</v>
      </c>
      <c r="C8" s="162">
        <v>950</v>
      </c>
      <c r="D8" s="162">
        <v>1500</v>
      </c>
      <c r="E8" s="162">
        <v>1500</v>
      </c>
      <c r="F8" s="159"/>
    </row>
    <row r="9" spans="1:6" ht="14.25" x14ac:dyDescent="0.2">
      <c r="A9" s="157" t="s">
        <v>175</v>
      </c>
      <c r="B9" s="162">
        <v>4500</v>
      </c>
      <c r="C9" s="162">
        <v>600</v>
      </c>
      <c r="D9" s="162">
        <v>1350</v>
      </c>
      <c r="E9" s="162">
        <v>1000</v>
      </c>
      <c r="F9" s="159"/>
    </row>
    <row r="10" spans="1:6" ht="14.25" x14ac:dyDescent="0.2">
      <c r="A10" s="157"/>
      <c r="B10" s="153"/>
      <c r="C10" s="153"/>
      <c r="D10" s="153"/>
      <c r="E10" s="153"/>
    </row>
    <row r="11" spans="1:6" ht="14.25" x14ac:dyDescent="0.2">
      <c r="A11" s="157"/>
      <c r="B11" s="153"/>
      <c r="C11" s="153"/>
      <c r="D11" s="153"/>
      <c r="E11" s="153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D0DC926965849A8A345859E8241FA" ma:contentTypeVersion="4" ma:contentTypeDescription="Create a new document." ma:contentTypeScope="" ma:versionID="fcfa4948a12298a5d5bcc2ee22a4a696">
  <xsd:schema xmlns:xsd="http://www.w3.org/2001/XMLSchema" xmlns:xs="http://www.w3.org/2001/XMLSchema" xmlns:p="http://schemas.microsoft.com/office/2006/metadata/properties" xmlns:ns2="3c1da50d-9398-43ae-99ce-979307744be1" xmlns:ns3="52a62a5d-c671-4f59-8453-00a85cb6d91a" targetNamespace="http://schemas.microsoft.com/office/2006/metadata/properties" ma:root="true" ma:fieldsID="07fe756e01c9eb82ae9cc357eb648aab" ns2:_="" ns3:_="">
    <xsd:import namespace="3c1da50d-9398-43ae-99ce-979307744be1"/>
    <xsd:import namespace="52a62a5d-c671-4f59-8453-00a85cb6d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da50d-9398-43ae-99ce-979307744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62a5d-c671-4f59-8453-00a85cb6d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33B626-EC00-43C6-98C5-1C0183C1E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da50d-9398-43ae-99ce-979307744be1"/>
    <ds:schemaRef ds:uri="52a62a5d-c671-4f59-8453-00a85cb6d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Ates, Aaron - REE-ERS, Kansas City, MO</cp:lastModifiedBy>
  <cp:revision/>
  <dcterms:created xsi:type="dcterms:W3CDTF">2001-11-13T16:22:15Z</dcterms:created>
  <dcterms:modified xsi:type="dcterms:W3CDTF">2022-06-13T20:35:44Z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0x0101007FCD0DC926965849A8A345859E8241FA</vt:lpwstr>
  </property>
</Properties>
</file>