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96F3299D-DA7D-4DA8-B0C2-B1B0D773C101}" xr6:coauthVersionLast="47" xr6:coauthVersionMax="47" xr10:uidLastSave="{00000000-0000-0000-0000-000000000000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47" r:id="rId9"/>
    <sheet name="Figure 2" sheetId="57" r:id="rId10"/>
    <sheet name="Figure 3" sheetId="63" r:id="rId11"/>
    <sheet name="Figure 4" sheetId="53" r:id="rId12"/>
    <sheet name="Figure 5" sheetId="56" r:id="rId13"/>
    <sheet name="Figure 6" sheetId="65" r:id="rId14"/>
  </sheets>
  <definedNames>
    <definedName name="_xlnm.Print_Area" localSheetId="1">'Table 1'!$A$1:$N$38</definedName>
    <definedName name="_xlnm.Print_Area" localSheetId="7">'Table 10'!$A$1:$G$41</definedName>
    <definedName name="_xlnm.Print_Area" localSheetId="2">'Table 2'!$A$1:$J$31</definedName>
    <definedName name="_xlnm.Print_Area" localSheetId="3">'Table 3'!$A$1:$L$44</definedName>
    <definedName name="_xlnm.Print_Area" localSheetId="5">'Table 8'!$A$1:$G$39</definedName>
    <definedName name="_xlnm.Print_Area" localSheetId="6">'Table 9'!$A$1:$I$41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9" l="1"/>
  <c r="D29" i="2"/>
  <c r="D29" i="9"/>
  <c r="H29" i="2"/>
  <c r="L35" i="1"/>
  <c r="G35" i="1"/>
  <c r="E19" i="3"/>
  <c r="E6" i="3"/>
  <c r="E6" i="9"/>
  <c r="K6" i="9" s="1"/>
  <c r="G6" i="9" s="1"/>
  <c r="I6" i="9" s="1"/>
  <c r="I6" i="2"/>
  <c r="G6" i="2"/>
  <c r="E6" i="2"/>
  <c r="F2" i="53" l="1"/>
  <c r="F3" i="53"/>
  <c r="F4" i="53"/>
  <c r="F5" i="53"/>
  <c r="F6" i="53"/>
  <c r="F7" i="53"/>
  <c r="J35" i="1" l="1"/>
  <c r="J36" i="1"/>
  <c r="B29" i="9"/>
  <c r="E29" i="9" s="1"/>
  <c r="K29" i="9" s="1"/>
  <c r="G29" i="9" s="1"/>
  <c r="B29" i="2"/>
  <c r="E29" i="2" s="1"/>
  <c r="I29" i="2" s="1"/>
  <c r="G29" i="2" s="1"/>
  <c r="L36" i="1"/>
  <c r="G36" i="1"/>
  <c r="J28" i="9"/>
  <c r="D28" i="9"/>
  <c r="H28" i="2"/>
  <c r="D28" i="2"/>
  <c r="L34" i="1"/>
  <c r="G34" i="1"/>
  <c r="J34" i="1"/>
  <c r="J32" i="1"/>
  <c r="B28" i="9" l="1"/>
  <c r="E28" i="9" s="1"/>
  <c r="K28" i="9" s="1"/>
  <c r="G28" i="9" s="1"/>
  <c r="I28" i="9" s="1"/>
  <c r="B28" i="2"/>
  <c r="E28" i="2" s="1"/>
  <c r="I28" i="2" s="1"/>
  <c r="G28" i="2" s="1"/>
  <c r="L16" i="1"/>
  <c r="J27" i="9" l="1"/>
  <c r="D27" i="9"/>
  <c r="D27" i="2"/>
  <c r="H27" i="2"/>
  <c r="L32" i="1"/>
  <c r="G32" i="1"/>
  <c r="B27" i="9"/>
  <c r="E27" i="9" s="1"/>
  <c r="K27" i="9" s="1"/>
  <c r="B27" i="2"/>
  <c r="E27" i="2" l="1"/>
  <c r="I27" i="2" s="1"/>
  <c r="G27" i="9"/>
  <c r="I27" i="9" s="1"/>
  <c r="G27" i="2"/>
  <c r="J26" i="9"/>
  <c r="D26" i="9"/>
  <c r="H26" i="2"/>
  <c r="D26" i="2"/>
  <c r="L31" i="1"/>
  <c r="G31" i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1" i="3" l="1"/>
  <c r="B20" i="3"/>
  <c r="D20" i="9" l="1"/>
  <c r="D17" i="9"/>
  <c r="D16" i="9"/>
  <c r="D15" i="9"/>
  <c r="D14" i="9"/>
  <c r="D13" i="9"/>
  <c r="D12" i="9"/>
  <c r="D11" i="9"/>
  <c r="J22" i="9"/>
  <c r="D22" i="9"/>
  <c r="H22" i="2"/>
  <c r="D22" i="2"/>
  <c r="L30" i="1"/>
  <c r="L33" i="1" s="1"/>
  <c r="G30" i="1"/>
  <c r="G33" i="1" s="1"/>
  <c r="H33" i="1" l="1"/>
  <c r="M33" i="1" s="1"/>
  <c r="J30" i="1"/>
  <c r="J33" i="1" s="1"/>
  <c r="K33" i="1" l="1"/>
  <c r="L7" i="9"/>
  <c r="H23" i="9"/>
  <c r="H7" i="9" s="1"/>
  <c r="C23" i="9"/>
  <c r="C7" i="9" s="1"/>
  <c r="B22" i="9"/>
  <c r="E22" i="9" s="1"/>
  <c r="K22" i="9" s="1"/>
  <c r="G22" i="9" s="1"/>
  <c r="I22" i="9" s="1"/>
  <c r="J7" i="2"/>
  <c r="H6" i="1"/>
  <c r="M6" i="1" s="1"/>
  <c r="K6" i="1" s="1"/>
  <c r="N7" i="1"/>
  <c r="C23" i="2"/>
  <c r="C7" i="2" s="1"/>
  <c r="B22" i="2"/>
  <c r="E22" i="2" s="1"/>
  <c r="I22" i="2" s="1"/>
  <c r="G22" i="2" s="1"/>
  <c r="D6" i="1"/>
  <c r="J21" i="9"/>
  <c r="D21" i="9"/>
  <c r="H21" i="2"/>
  <c r="D21" i="2"/>
  <c r="L25" i="1"/>
  <c r="G25" i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I31" i="3"/>
  <c r="G31" i="3"/>
  <c r="E31" i="3"/>
  <c r="J6" i="3"/>
  <c r="I19" i="3"/>
  <c r="H44" i="3"/>
  <c r="D44" i="3"/>
  <c r="J20" i="9" l="1"/>
  <c r="B20" i="9"/>
  <c r="E20" i="9" s="1"/>
  <c r="K20" i="9" s="1"/>
  <c r="H20" i="2"/>
  <c r="D20" i="2"/>
  <c r="B20" i="2"/>
  <c r="E20" i="2" s="1"/>
  <c r="I20" i="2" s="1"/>
  <c r="L24" i="1"/>
  <c r="G24" i="1"/>
  <c r="G20" i="9" l="1"/>
  <c r="G20" i="2"/>
  <c r="I20" i="9" l="1"/>
  <c r="D46" i="3"/>
  <c r="B8" i="9"/>
  <c r="B7" i="9"/>
  <c r="D8" i="1"/>
  <c r="J19" i="9"/>
  <c r="D19" i="9"/>
  <c r="H19" i="2"/>
  <c r="D19" i="2"/>
  <c r="E19" i="2" s="1"/>
  <c r="I19" i="2" s="1"/>
  <c r="G19" i="2" s="1"/>
  <c r="L23" i="1"/>
  <c r="L26" i="1" s="1"/>
  <c r="G23" i="1"/>
  <c r="G26" i="1" s="1"/>
  <c r="H26" i="1" s="1"/>
  <c r="M26" i="1" s="1"/>
  <c r="B19" i="9"/>
  <c r="B19" i="2"/>
  <c r="J23" i="1"/>
  <c r="J26" i="1" s="1"/>
  <c r="E19" i="9" l="1"/>
  <c r="K19" i="9" s="1"/>
  <c r="K26" i="1"/>
  <c r="G19" i="9"/>
  <c r="L44" i="3"/>
  <c r="J18" i="9"/>
  <c r="J17" i="9"/>
  <c r="J16" i="9"/>
  <c r="J15" i="9"/>
  <c r="J14" i="9"/>
  <c r="J13" i="9"/>
  <c r="J12" i="9"/>
  <c r="J11" i="9"/>
  <c r="D18" i="9"/>
  <c r="D23" i="9" s="1"/>
  <c r="D7" i="9" s="1"/>
  <c r="J23" i="9" l="1"/>
  <c r="J7" i="9" s="1"/>
  <c r="I19" i="9"/>
  <c r="H18" i="2"/>
  <c r="H17" i="2"/>
  <c r="H16" i="2"/>
  <c r="H15" i="2"/>
  <c r="H14" i="2"/>
  <c r="H13" i="2"/>
  <c r="H12" i="2"/>
  <c r="H11" i="2"/>
  <c r="D18" i="2"/>
  <c r="D17" i="2"/>
  <c r="D16" i="2"/>
  <c r="D15" i="2"/>
  <c r="D14" i="2"/>
  <c r="D13" i="2"/>
  <c r="D12" i="2"/>
  <c r="D11" i="2"/>
  <c r="H23" i="2" l="1"/>
  <c r="H7" i="2" s="1"/>
  <c r="D23" i="2"/>
  <c r="D7" i="2" s="1"/>
  <c r="L21" i="1"/>
  <c r="L20" i="1"/>
  <c r="L19" i="1"/>
  <c r="L17" i="1"/>
  <c r="L15" i="1"/>
  <c r="L13" i="1"/>
  <c r="L12" i="1"/>
  <c r="L11" i="1"/>
  <c r="G21" i="1"/>
  <c r="G20" i="1"/>
  <c r="G19" i="1"/>
  <c r="G17" i="1"/>
  <c r="G16" i="1"/>
  <c r="G15" i="1"/>
  <c r="G13" i="1"/>
  <c r="G12" i="1"/>
  <c r="G11" i="1"/>
  <c r="J21" i="1"/>
  <c r="J20" i="1"/>
  <c r="J19" i="1"/>
  <c r="J17" i="1"/>
  <c r="J16" i="1"/>
  <c r="J15" i="1"/>
  <c r="J13" i="1"/>
  <c r="J12" i="1"/>
  <c r="J11" i="1"/>
  <c r="I6" i="1" l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B32" i="9"/>
  <c r="I18" i="9" l="1"/>
  <c r="I21" i="3"/>
  <c r="I20" i="3"/>
  <c r="B8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A16" i="10" l="1"/>
  <c r="B16" i="9" l="1"/>
  <c r="E16" i="9" s="1"/>
  <c r="K16" i="9" s="1"/>
  <c r="G16" i="9" s="1"/>
  <c r="I16" i="9" s="1"/>
  <c r="B16" i="2"/>
  <c r="E16" i="2"/>
  <c r="E8" i="2"/>
  <c r="E8" i="9"/>
  <c r="K8" i="9" s="1"/>
  <c r="G8" i="9" s="1"/>
  <c r="I8" i="9" s="1"/>
  <c r="I8" i="2" l="1"/>
  <c r="G8" i="2" s="1"/>
  <c r="I16" i="2"/>
  <c r="G16" i="2" s="1"/>
  <c r="B8" i="3"/>
  <c r="E8" i="3" s="1"/>
  <c r="E21" i="3"/>
  <c r="B33" i="3"/>
  <c r="E46" i="3"/>
  <c r="H46" i="3" s="1"/>
  <c r="D45" i="3"/>
  <c r="N46" i="3" l="1"/>
  <c r="L46" i="3" s="1"/>
  <c r="E33" i="3"/>
  <c r="I33" i="3" s="1"/>
  <c r="G33" i="3" s="1"/>
  <c r="B15" i="2"/>
  <c r="E18" i="1"/>
  <c r="E15" i="2" l="1"/>
  <c r="I15" i="2" l="1"/>
  <c r="G15" i="2" s="1"/>
  <c r="E20" i="3"/>
  <c r="B15" i="9"/>
  <c r="E15" i="9" s="1"/>
  <c r="K15" i="9" s="1"/>
  <c r="G15" i="9" s="1"/>
  <c r="I15" i="9" s="1"/>
  <c r="B42" i="5" l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F7" i="1" s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7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7" i="1" s="1"/>
  <c r="E23" i="2"/>
  <c r="E7" i="2" s="1"/>
  <c r="G14" i="1" l="1"/>
  <c r="G27" i="1" s="1"/>
  <c r="G7" i="1" s="1"/>
  <c r="E23" i="9" l="1"/>
  <c r="E7" i="9" s="1"/>
  <c r="K7" i="9" s="1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D7" i="1" l="1"/>
  <c r="B50" i="3" l="1"/>
  <c r="E11" i="9" l="1"/>
  <c r="E11" i="2"/>
  <c r="B39" i="1"/>
  <c r="K11" i="9" l="1"/>
  <c r="I11" i="2"/>
  <c r="I23" i="2" s="1"/>
  <c r="I7" i="2" s="1"/>
  <c r="G11" i="2"/>
  <c r="G23" i="2" s="1"/>
  <c r="G7" i="2" s="1"/>
  <c r="K23" i="9" l="1"/>
  <c r="G11" i="9"/>
  <c r="B43" i="6"/>
  <c r="B41" i="4"/>
  <c r="B32" i="2"/>
  <c r="I11" i="9" l="1"/>
  <c r="I23" i="9" s="1"/>
  <c r="I7" i="9" s="1"/>
  <c r="G23" i="9"/>
  <c r="G7" i="9" s="1"/>
  <c r="B7" i="2"/>
  <c r="J8" i="3" l="1"/>
  <c r="E7" i="1" l="1"/>
  <c r="H7" i="1" s="1"/>
  <c r="M7" i="1" s="1"/>
  <c r="K7" i="1" s="1"/>
  <c r="E14" i="1"/>
  <c r="H14" i="1" s="1"/>
  <c r="M14" i="1" s="1"/>
  <c r="H27" i="1" l="1"/>
  <c r="M27" i="1"/>
  <c r="K14" i="1"/>
  <c r="K27" i="1" s="1"/>
  <c r="E8" i="1" s="1"/>
  <c r="H8" i="1" s="1"/>
  <c r="M8" i="1" s="1"/>
  <c r="K8" i="1" s="1"/>
</calcChain>
</file>

<file path=xl/sharedStrings.xml><?xml version="1.0" encoding="utf-8"?>
<sst xmlns="http://schemas.openxmlformats.org/spreadsheetml/2006/main" count="611" uniqueCount="257">
  <si>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</si>
  <si>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</si>
  <si>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</si>
  <si>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</si>
  <si>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</si>
  <si>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</si>
  <si>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</si>
  <si>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</si>
  <si>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</si>
  <si>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</si>
  <si>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</si>
  <si>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</si>
  <si>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</si>
  <si>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</si>
  <si>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</si>
  <si>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</si>
  <si>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</si>
  <si>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</si>
  <si>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</si>
  <si>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</si>
  <si>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</si>
  <si>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</si>
  <si>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</si>
  <si>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</si>
  <si>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</si>
  <si>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</si>
  <si>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</si>
  <si>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</si>
  <si>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</si>
  <si>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</si>
  <si>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</si>
  <si>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</si>
  <si>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</si>
  <si>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</si>
  <si>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2019/20</t>
  </si>
  <si>
    <r>
      <t>2020/21</t>
    </r>
    <r>
      <rPr>
        <vertAlign val="superscript"/>
        <sz val="11"/>
        <rFont val="Arial"/>
        <family val="2"/>
      </rPr>
      <t>1</t>
    </r>
  </si>
  <si>
    <r>
      <t>2021/22</t>
    </r>
    <r>
      <rPr>
        <vertAlign val="superscript"/>
        <sz val="11"/>
        <rFont val="Arial"/>
        <family val="2"/>
      </rPr>
      <t>2</t>
    </r>
  </si>
  <si>
    <t>2020/21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</si>
  <si>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</si>
  <si>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</si>
  <si>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</si>
  <si>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</si>
  <si>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</si>
  <si>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</si>
  <si>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</si>
  <si>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</si>
  <si>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</si>
  <si>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</si>
  <si>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</si>
  <si>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</si>
  <si>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</si>
  <si>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</si>
  <si>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</si>
  <si>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</si>
  <si>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</si>
  <si>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</si>
  <si>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</si>
  <si>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</si>
  <si>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</si>
  <si>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</si>
  <si>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</si>
  <si>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</si>
  <si>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</si>
  <si>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</si>
  <si>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</si>
  <si>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</si>
  <si>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</si>
  <si>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</si>
  <si>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</si>
  <si>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</si>
  <si>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</si>
  <si>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</si>
  <si>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</si>
  <si>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</si>
  <si>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</si>
  <si>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</si>
  <si>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</si>
  <si>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</si>
  <si>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</si>
  <si>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</si>
  <si>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</si>
  <si>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</si>
  <si>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</si>
  <si>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</si>
  <si>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</si>
  <si>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</si>
  <si>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</si>
  <si>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</si>
  <si>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</si>
  <si>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</si>
  <si>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</si>
  <si>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</si>
  <si>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</si>
  <si>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</si>
  <si>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</si>
  <si>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</si>
  <si>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</si>
  <si>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</si>
  <si>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</si>
  <si>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</si>
  <si>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</si>
  <si>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</si>
  <si>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</si>
  <si>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</si>
  <si>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</si>
  <si>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</si>
  <si>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</si>
  <si>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</si>
  <si>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</si>
  <si>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</si>
  <si>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</si>
  <si>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</si>
  <si>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</si>
  <si>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</si>
  <si>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</si>
  <si>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</si>
  <si>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</si>
  <si>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</si>
  <si>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</si>
  <si>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</si>
  <si>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</si>
  <si>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</si>
  <si>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</si>
  <si>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</si>
  <si>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Sunflowerseed</t>
  </si>
  <si>
    <t>Canola</t>
  </si>
  <si>
    <t xml:space="preserve">Peanut </t>
  </si>
  <si>
    <t xml:space="preserve">Corn  </t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</si>
  <si>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</si>
  <si>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</si>
  <si>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</si>
  <si>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</si>
  <si>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</si>
  <si>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t>------------------------------------------------------- Cents per pound----------------------------------------------</t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</si>
  <si>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</si>
  <si>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</si>
  <si>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</si>
  <si>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</si>
  <si>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</si>
  <si>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</si>
  <si>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</si>
  <si>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</si>
  <si>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</si>
  <si>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</si>
  <si>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t>2020/21</t>
    </r>
    <r>
      <rPr>
        <vertAlign val="superscript"/>
        <sz val="11"/>
        <rFont val="Arial"/>
        <family val="2"/>
      </rPr>
      <t>7</t>
    </r>
  </si>
  <si>
    <r>
      <t>2021/22</t>
    </r>
    <r>
      <rPr>
        <vertAlign val="superscript"/>
        <sz val="11"/>
        <rFont val="Arial"/>
        <family val="2"/>
      </rPr>
      <t>7</t>
    </r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</si>
  <si>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</si>
  <si>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</si>
  <si>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</si>
  <si>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Marketing year</t>
  </si>
  <si>
    <t>2016/2017</t>
  </si>
  <si>
    <t>2017/2018</t>
  </si>
  <si>
    <t>2018/2019</t>
  </si>
  <si>
    <t>2019/2020</t>
  </si>
  <si>
    <t>2020/2021</t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</si>
  <si>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Report.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</si>
  <si>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</si>
  <si>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>Biofuel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</si>
  <si>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</si>
  <si>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</si>
  <si>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</si>
  <si>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</si>
  <si>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</si>
  <si>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</si>
  <si>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</si>
  <si>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</si>
  <si>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</si>
  <si>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</si>
  <si>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Food, feed, and other industrial use</t>
  </si>
  <si>
    <t>2021/2022*</t>
  </si>
  <si>
    <t>Jan 3</t>
  </si>
  <si>
    <t>Jan 4</t>
  </si>
  <si>
    <t>Jan 5</t>
  </si>
  <si>
    <t>Jan 6</t>
  </si>
  <si>
    <t>Jan 7</t>
  </si>
  <si>
    <t>Jan 10</t>
  </si>
  <si>
    <t>Jan 11</t>
  </si>
  <si>
    <t>Jan 12</t>
  </si>
  <si>
    <t>Jan 13</t>
  </si>
  <si>
    <t>Jan 14</t>
  </si>
  <si>
    <t>Jan 17</t>
  </si>
  <si>
    <t>Jan 18</t>
  </si>
  <si>
    <t>Jan 19</t>
  </si>
  <si>
    <t>Jan 20</t>
  </si>
  <si>
    <t>Jan 21</t>
  </si>
  <si>
    <t>Jan 24</t>
  </si>
  <si>
    <t>Jan 25</t>
  </si>
  <si>
    <t>Jan26</t>
  </si>
  <si>
    <t>Jan 27</t>
  </si>
  <si>
    <t>Jan 28</t>
  </si>
  <si>
    <t>Jan 31</t>
  </si>
  <si>
    <t>Feb 1</t>
  </si>
  <si>
    <t>Feb 2</t>
  </si>
  <si>
    <t>Feb 3</t>
  </si>
  <si>
    <t>Feb 4</t>
  </si>
  <si>
    <t>Feb 7</t>
  </si>
  <si>
    <t>Feb 8</t>
  </si>
  <si>
    <t>Feb 9</t>
  </si>
  <si>
    <t>Feb 10</t>
  </si>
  <si>
    <t>Feb 11</t>
  </si>
  <si>
    <t>Feb 14</t>
  </si>
  <si>
    <t>Feb 15</t>
  </si>
  <si>
    <t>Feb 16</t>
  </si>
  <si>
    <t>Feb 17</t>
  </si>
  <si>
    <t>Feb 18</t>
  </si>
  <si>
    <t>Feb 21</t>
  </si>
  <si>
    <t>Feb 22</t>
  </si>
  <si>
    <t>Feb 23</t>
  </si>
  <si>
    <t>Feb 24</t>
  </si>
  <si>
    <t>Feb 25</t>
  </si>
  <si>
    <t>Feb 28</t>
  </si>
  <si>
    <t>Mar 1</t>
  </si>
  <si>
    <t>Mar 2</t>
  </si>
  <si>
    <t>Mar 3</t>
  </si>
  <si>
    <t>Mar 4</t>
  </si>
  <si>
    <t>Mar 7</t>
  </si>
  <si>
    <t>Mar 8</t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</si>
  <si>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</si>
  <si>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</si>
  <si>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</si>
  <si>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Argentina, Up River</t>
  </si>
  <si>
    <t>Price</t>
  </si>
  <si>
    <t>Brazil, Paranaguá</t>
  </si>
  <si>
    <t>Palm oil</t>
  </si>
  <si>
    <t>Soybean oil</t>
  </si>
  <si>
    <t>Sunflowerseed oil</t>
  </si>
  <si>
    <t>Canola oil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</si>
  <si>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</si>
  <si>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</si>
  <si>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</si>
  <si>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</si>
  <si>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</si>
  <si>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</si>
  <si>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</si>
  <si>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</si>
  <si>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</si>
  <si>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</si>
  <si>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</si>
  <si>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</si>
  <si>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</si>
  <si>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</si>
  <si>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</si>
  <si>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</si>
  <si>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</si>
  <si>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2022*</t>
  </si>
  <si>
    <t>Palm oil, Malaysia</t>
  </si>
  <si>
    <t>Soybean oil, Argentina</t>
  </si>
  <si>
    <t>Canola oil, Canada</t>
  </si>
  <si>
    <t>Monthly average prices</t>
  </si>
  <si>
    <t>Sunflowerseed oil, Argentina</t>
  </si>
  <si>
    <t>Domestic consumption</t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</si>
  <si>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</si>
  <si>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2021/22 Feb.*</t>
  </si>
  <si>
    <t>2021/22 Mar.*</t>
  </si>
  <si>
    <t>United States, Gulf</t>
  </si>
  <si>
    <t>Sept. 30 ending stocks</t>
  </si>
  <si>
    <t>Season-average soybean oil price, Decatur,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</si>
</sst>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0"/>
    <numFmt numFmtId="173" formatCode="_(* #,##0.00_);_(* \(#,##0.00\);_(* &quot;-&quot;_);_(@_)"/>
    <numFmt numFmtId="174" formatCode="m/d/yy;@"/>
    <numFmt numFmtId="175" formatCode="_(* #,##0.0000_);_(* \(#,##0.0000\);_(* &quot;-&quot;_);_(@_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86">
    <xf numFmtId="0" fontId="0" fillId="0" borderId="0" xfId="0"/>
    <xf numFmtId="0" fontId="10" fillId="0" borderId="0" xfId="8" applyFont="1"/>
    <xf numFmtId="0" fontId="11" fillId="0" borderId="0" xfId="8" applyFont="1"/>
    <xf numFmtId="0" fontId="16" fillId="0" borderId="0" xfId="8" applyFont="1" applyFill="1"/>
    <xf numFmtId="0" fontId="17" fillId="0" borderId="0" xfId="8" applyFont="1"/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169" fontId="18" fillId="0" borderId="0" xfId="1" applyNumberFormat="1" applyFont="1" applyFill="1" applyBorder="1" applyAlignment="1">
      <alignment horizontal="right" indent="1"/>
    </xf>
    <xf numFmtId="0" fontId="24" fillId="0" borderId="0" xfId="7" applyFont="1" applyAlignment="1">
      <alignment horizontal="left"/>
    </xf>
    <xf numFmtId="0" fontId="26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right" indent="2"/>
    </xf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169" fontId="18" fillId="0" borderId="1" xfId="1" applyNumberFormat="1" applyFont="1" applyFill="1" applyBorder="1" applyAlignment="1">
      <alignment horizontal="right" indent="1"/>
    </xf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43" fontId="0" fillId="0" borderId="0" xfId="1" applyFont="1" applyFill="1"/>
    <xf numFmtId="43" fontId="9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0" fontId="25" fillId="0" borderId="0" xfId="0" applyFon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37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right" indent="2"/>
    </xf>
    <xf numFmtId="165" fontId="18" fillId="0" borderId="0" xfId="1" applyNumberFormat="1" applyFont="1" applyFill="1"/>
    <xf numFmtId="37" fontId="18" fillId="0" borderId="0" xfId="1" applyNumberFormat="1" applyFont="1" applyFill="1" applyAlignment="1">
      <alignment horizontal="right" indent="1"/>
    </xf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4" fontId="0" fillId="0" borderId="0" xfId="0" applyNumberFormat="1" applyFill="1"/>
    <xf numFmtId="2" fontId="13" fillId="0" borderId="0" xfId="0" applyNumberFormat="1" applyFont="1" applyFill="1"/>
    <xf numFmtId="0" fontId="28" fillId="0" borderId="1" xfId="29" applyFont="1" applyFill="1" applyBorder="1" applyAlignment="1">
      <alignment horizontal="center" wrapText="1"/>
    </xf>
    <xf numFmtId="0" fontId="27" fillId="0" borderId="0" xfId="29" applyFont="1" applyFill="1"/>
    <xf numFmtId="41" fontId="27" fillId="0" borderId="0" xfId="32" applyNumberFormat="1" applyFont="1" applyFill="1" applyAlignment="1">
      <alignment horizontal="center"/>
    </xf>
    <xf numFmtId="41" fontId="27" fillId="0" borderId="0" xfId="32" applyNumberFormat="1" applyFont="1" applyFill="1"/>
    <xf numFmtId="0" fontId="20" fillId="0" borderId="3" xfId="0" applyFont="1" applyFill="1" applyBorder="1"/>
    <xf numFmtId="164" fontId="18" fillId="0" borderId="3" xfId="0" applyNumberFormat="1" applyFont="1" applyFill="1" applyBorder="1"/>
    <xf numFmtId="43" fontId="18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9" fillId="0" borderId="0" xfId="0" applyFont="1" applyAlignment="1"/>
    <xf numFmtId="1" fontId="9" fillId="0" borderId="0" xfId="0" applyNumberFormat="1" applyFont="1" applyAlignment="1"/>
    <xf numFmtId="0" fontId="9" fillId="0" borderId="0" xfId="8" applyFont="1"/>
    <xf numFmtId="0" fontId="9" fillId="0" borderId="0" xfId="8" applyFont="1" applyFill="1"/>
    <xf numFmtId="0" fontId="9" fillId="0" borderId="0" xfId="0" applyFont="1" applyFill="1" applyBorder="1"/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2" fontId="18" fillId="2" borderId="0" xfId="0" applyNumberFormat="1" applyFont="1" applyFill="1" applyBorder="1" applyAlignment="1">
      <alignment horizontal="right" indent="2"/>
    </xf>
    <xf numFmtId="0" fontId="0" fillId="0" borderId="0" xfId="0" applyNumberFormat="1" applyAlignment="1">
      <alignment horizontal="left"/>
    </xf>
    <xf numFmtId="0" fontId="28" fillId="0" borderId="1" xfId="29" applyFont="1" applyBorder="1" applyAlignment="1">
      <alignment horizontal="left"/>
    </xf>
    <xf numFmtId="17" fontId="9" fillId="0" borderId="0" xfId="0" applyNumberFormat="1" applyFont="1" applyFill="1" applyAlignment="1">
      <alignment horizontal="left"/>
    </xf>
    <xf numFmtId="169" fontId="18" fillId="0" borderId="0" xfId="1" applyNumberFormat="1" applyFont="1" applyFill="1" applyBorder="1" applyAlignment="1"/>
    <xf numFmtId="0" fontId="9" fillId="0" borderId="0" xfId="0" applyFont="1"/>
    <xf numFmtId="0" fontId="28" fillId="0" borderId="1" xfId="29" applyFont="1" applyBorder="1" applyAlignment="1">
      <alignment horizontal="left" wrapText="1"/>
    </xf>
    <xf numFmtId="41" fontId="0" fillId="0" borderId="0" xfId="0" applyNumberFormat="1" applyAlignment="1">
      <alignment horizontal="left"/>
    </xf>
    <xf numFmtId="0" fontId="28" fillId="0" borderId="1" xfId="29" applyNumberFormat="1" applyFont="1" applyFill="1" applyBorder="1" applyAlignment="1">
      <alignment horizontal="center" wrapText="1"/>
    </xf>
    <xf numFmtId="172" fontId="27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8" fillId="0" borderId="1" xfId="29" applyFont="1" applyBorder="1" applyAlignment="1">
      <alignment horizontal="center" wrapText="1"/>
    </xf>
    <xf numFmtId="0" fontId="27" fillId="0" borderId="0" xfId="29" applyFont="1"/>
    <xf numFmtId="41" fontId="27" fillId="0" borderId="0" xfId="34" applyNumberFormat="1" applyFont="1" applyFill="1"/>
    <xf numFmtId="41" fontId="27" fillId="0" borderId="0" xfId="34" applyNumberFormat="1" applyFont="1"/>
    <xf numFmtId="41" fontId="27" fillId="0" borderId="0" xfId="29" applyNumberFormat="1" applyFont="1"/>
    <xf numFmtId="41" fontId="27" fillId="0" borderId="0" xfId="34" applyNumberFormat="1" applyFont="1" applyAlignment="1">
      <alignment horizontal="left"/>
    </xf>
    <xf numFmtId="41" fontId="27" fillId="0" borderId="0" xfId="34" applyNumberFormat="1" applyFont="1" applyFill="1" applyAlignment="1">
      <alignment horizontal="center" vertical="center"/>
    </xf>
    <xf numFmtId="173" fontId="27" fillId="0" borderId="0" xfId="34" applyNumberFormat="1" applyFont="1" applyFill="1" applyAlignment="1">
      <alignment horizontal="center" vertical="center"/>
    </xf>
    <xf numFmtId="165" fontId="30" fillId="0" borderId="0" xfId="1" applyNumberFormat="1" applyFont="1" applyFill="1" applyAlignment="1">
      <alignment horizontal="center" vertical="center"/>
    </xf>
    <xf numFmtId="41" fontId="27" fillId="0" borderId="0" xfId="29" applyNumberFormat="1" applyFont="1" applyAlignment="1">
      <alignment horizontal="center" vertical="center"/>
    </xf>
    <xf numFmtId="173" fontId="27" fillId="0" borderId="0" xfId="29" applyNumberFormat="1" applyFont="1" applyAlignment="1">
      <alignment horizontal="center" vertical="center"/>
    </xf>
    <xf numFmtId="174" fontId="27" fillId="0" borderId="0" xfId="29" applyNumberFormat="1" applyFont="1" applyFill="1"/>
    <xf numFmtId="174" fontId="27" fillId="0" borderId="0" xfId="29" applyNumberFormat="1" applyFont="1" applyFill="1" applyAlignment="1">
      <alignment horizontal="right"/>
    </xf>
    <xf numFmtId="41" fontId="27" fillId="0" borderId="0" xfId="29" applyNumberFormat="1" applyFont="1" applyFill="1"/>
    <xf numFmtId="0" fontId="27" fillId="0" borderId="0" xfId="29" applyFont="1" applyFill="1" applyAlignment="1">
      <alignment horizontal="right"/>
    </xf>
    <xf numFmtId="41" fontId="30" fillId="0" borderId="0" xfId="1" applyNumberFormat="1" applyFont="1" applyFill="1"/>
    <xf numFmtId="9" fontId="27" fillId="0" borderId="0" xfId="12" applyFont="1" applyFill="1"/>
    <xf numFmtId="0" fontId="28" fillId="0" borderId="0" xfId="29" applyFont="1" applyFill="1"/>
    <xf numFmtId="37" fontId="18" fillId="0" borderId="0" xfId="1" applyNumberFormat="1" applyFont="1" applyAlignment="1">
      <alignment horizontal="center"/>
    </xf>
    <xf numFmtId="37" fontId="18" fillId="0" borderId="0" xfId="1" applyNumberFormat="1" applyFont="1" applyAlignment="1">
      <alignment horizontal="right" indent="1"/>
    </xf>
    <xf numFmtId="2" fontId="31" fillId="0" borderId="1" xfId="0" applyNumberFormat="1" applyFont="1" applyFill="1" applyBorder="1" applyAlignment="1">
      <alignment horizontal="right" indent="2"/>
    </xf>
    <xf numFmtId="41" fontId="27" fillId="0" borderId="0" xfId="29" applyNumberFormat="1" applyFont="1" applyFill="1" applyAlignment="1">
      <alignment horizontal="center" vertical="center"/>
    </xf>
    <xf numFmtId="173" fontId="27" fillId="0" borderId="0" xfId="29" applyNumberFormat="1" applyFont="1" applyFill="1" applyAlignment="1">
      <alignment horizontal="center" vertical="center"/>
    </xf>
    <xf numFmtId="175" fontId="27" fillId="0" borderId="0" xfId="32" applyNumberFormat="1" applyFont="1" applyFill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Currency 2" xfId="34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3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FFFF00"/>
      <color rgb="FFD99694"/>
      <color rgb="FFB7DEE8"/>
      <color rgb="FF0000FF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Daily soybean prices for major exporters in 2022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208536857953676E-2"/>
          <c:y val="0.17631144963605219"/>
          <c:w val="0.87936619499595259"/>
          <c:h val="0.60056141343529024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Argentina, Up River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1'!$A$2:$A$48</c:f>
              <c:strCache>
                <c:ptCount val="47"/>
                <c:pt idx="0">
                  <c:v>Jan 3</c:v>
                </c:pt>
                <c:pt idx="1">
                  <c:v>Jan 4</c:v>
                </c:pt>
                <c:pt idx="2">
                  <c:v>Jan 5</c:v>
                </c:pt>
                <c:pt idx="3">
                  <c:v>Jan 6</c:v>
                </c:pt>
                <c:pt idx="4">
                  <c:v>Jan 7</c:v>
                </c:pt>
                <c:pt idx="5">
                  <c:v>Jan 10</c:v>
                </c:pt>
                <c:pt idx="6">
                  <c:v>Jan 11</c:v>
                </c:pt>
                <c:pt idx="7">
                  <c:v>Jan 12</c:v>
                </c:pt>
                <c:pt idx="8">
                  <c:v>Jan 13</c:v>
                </c:pt>
                <c:pt idx="9">
                  <c:v>Jan 14</c:v>
                </c:pt>
                <c:pt idx="10">
                  <c:v>Jan 17</c:v>
                </c:pt>
                <c:pt idx="11">
                  <c:v>Jan 18</c:v>
                </c:pt>
                <c:pt idx="12">
                  <c:v>Jan 19</c:v>
                </c:pt>
                <c:pt idx="13">
                  <c:v>Jan 20</c:v>
                </c:pt>
                <c:pt idx="14">
                  <c:v>Jan 21</c:v>
                </c:pt>
                <c:pt idx="15">
                  <c:v>Jan 24</c:v>
                </c:pt>
                <c:pt idx="16">
                  <c:v>Jan 25</c:v>
                </c:pt>
                <c:pt idx="17">
                  <c:v>Jan26</c:v>
                </c:pt>
                <c:pt idx="18">
                  <c:v>Jan 27</c:v>
                </c:pt>
                <c:pt idx="19">
                  <c:v>Jan 28</c:v>
                </c:pt>
                <c:pt idx="20">
                  <c:v>Jan 31</c:v>
                </c:pt>
                <c:pt idx="21">
                  <c:v>Feb 1</c:v>
                </c:pt>
                <c:pt idx="22">
                  <c:v>Feb 2</c:v>
                </c:pt>
                <c:pt idx="23">
                  <c:v>Feb 3</c:v>
                </c:pt>
                <c:pt idx="24">
                  <c:v>Feb 4</c:v>
                </c:pt>
                <c:pt idx="25">
                  <c:v>Feb 7</c:v>
                </c:pt>
                <c:pt idx="26">
                  <c:v>Feb 8</c:v>
                </c:pt>
                <c:pt idx="27">
                  <c:v>Feb 9</c:v>
                </c:pt>
                <c:pt idx="28">
                  <c:v>Feb 10</c:v>
                </c:pt>
                <c:pt idx="29">
                  <c:v>Feb 11</c:v>
                </c:pt>
                <c:pt idx="30">
                  <c:v>Feb 14</c:v>
                </c:pt>
                <c:pt idx="31">
                  <c:v>Feb 15</c:v>
                </c:pt>
                <c:pt idx="32">
                  <c:v>Feb 16</c:v>
                </c:pt>
                <c:pt idx="33">
                  <c:v>Feb 17</c:v>
                </c:pt>
                <c:pt idx="34">
                  <c:v>Feb 18</c:v>
                </c:pt>
                <c:pt idx="35">
                  <c:v>Feb 21</c:v>
                </c:pt>
                <c:pt idx="36">
                  <c:v>Feb 22</c:v>
                </c:pt>
                <c:pt idx="37">
                  <c:v>Feb 23</c:v>
                </c:pt>
                <c:pt idx="38">
                  <c:v>Feb 24</c:v>
                </c:pt>
                <c:pt idx="39">
                  <c:v>Feb 25</c:v>
                </c:pt>
                <c:pt idx="40">
                  <c:v>Feb 28</c:v>
                </c:pt>
                <c:pt idx="41">
                  <c:v>Mar 1</c:v>
                </c:pt>
                <c:pt idx="42">
                  <c:v>Mar 2</c:v>
                </c:pt>
                <c:pt idx="43">
                  <c:v>Mar 3</c:v>
                </c:pt>
                <c:pt idx="44">
                  <c:v>Mar 4</c:v>
                </c:pt>
                <c:pt idx="45">
                  <c:v>Mar 7</c:v>
                </c:pt>
                <c:pt idx="46">
                  <c:v>Mar 8</c:v>
                </c:pt>
              </c:strCache>
            </c:strRef>
          </c:cat>
          <c:val>
            <c:numRef>
              <c:f>'Figure 1'!$B$2:$B$46</c:f>
              <c:numCache>
                <c:formatCode>General</c:formatCode>
                <c:ptCount val="45"/>
                <c:pt idx="0">
                  <c:v>583</c:v>
                </c:pt>
                <c:pt idx="1">
                  <c:v>600</c:v>
                </c:pt>
                <c:pt idx="2">
                  <c:v>606</c:v>
                </c:pt>
                <c:pt idx="3">
                  <c:v>603</c:v>
                </c:pt>
                <c:pt idx="4">
                  <c:v>612</c:v>
                </c:pt>
                <c:pt idx="5">
                  <c:v>602</c:v>
                </c:pt>
                <c:pt idx="6">
                  <c:v>603</c:v>
                </c:pt>
                <c:pt idx="7">
                  <c:v>609</c:v>
                </c:pt>
                <c:pt idx="8">
                  <c:v>599</c:v>
                </c:pt>
                <c:pt idx="9">
                  <c:v>596</c:v>
                </c:pt>
                <c:pt idx="10">
                  <c:v>593</c:v>
                </c:pt>
                <c:pt idx="11">
                  <c:v>590</c:v>
                </c:pt>
                <c:pt idx="12">
                  <c:v>600</c:v>
                </c:pt>
                <c:pt idx="13">
                  <c:v>608</c:v>
                </c:pt>
                <c:pt idx="14">
                  <c:v>605</c:v>
                </c:pt>
                <c:pt idx="15">
                  <c:v>600</c:v>
                </c:pt>
                <c:pt idx="16">
                  <c:v>600</c:v>
                </c:pt>
                <c:pt idx="17">
                  <c:v>605</c:v>
                </c:pt>
                <c:pt idx="18">
                  <c:v>605</c:v>
                </c:pt>
                <c:pt idx="19">
                  <c:v>610</c:v>
                </c:pt>
                <c:pt idx="20">
                  <c:v>615</c:v>
                </c:pt>
                <c:pt idx="21">
                  <c:v>625</c:v>
                </c:pt>
                <c:pt idx="22">
                  <c:v>630</c:v>
                </c:pt>
                <c:pt idx="23">
                  <c:v>628</c:v>
                </c:pt>
                <c:pt idx="24">
                  <c:v>634</c:v>
                </c:pt>
                <c:pt idx="25">
                  <c:v>640</c:v>
                </c:pt>
                <c:pt idx="26">
                  <c:v>638</c:v>
                </c:pt>
                <c:pt idx="27">
                  <c:v>647</c:v>
                </c:pt>
                <c:pt idx="28">
                  <c:v>640</c:v>
                </c:pt>
                <c:pt idx="29">
                  <c:v>645</c:v>
                </c:pt>
                <c:pt idx="30">
                  <c:v>640</c:v>
                </c:pt>
                <c:pt idx="31">
                  <c:v>634</c:v>
                </c:pt>
                <c:pt idx="32">
                  <c:v>644</c:v>
                </c:pt>
                <c:pt idx="33">
                  <c:v>649</c:v>
                </c:pt>
                <c:pt idx="34">
                  <c:v>653</c:v>
                </c:pt>
                <c:pt idx="35">
                  <c:v>653</c:v>
                </c:pt>
                <c:pt idx="36">
                  <c:v>667</c:v>
                </c:pt>
                <c:pt idx="37">
                  <c:v>682</c:v>
                </c:pt>
                <c:pt idx="38">
                  <c:v>676</c:v>
                </c:pt>
                <c:pt idx="39">
                  <c:v>664</c:v>
                </c:pt>
                <c:pt idx="40">
                  <c:v>684</c:v>
                </c:pt>
                <c:pt idx="41">
                  <c:v>700</c:v>
                </c:pt>
                <c:pt idx="42">
                  <c:v>690</c:v>
                </c:pt>
                <c:pt idx="43">
                  <c:v>695</c:v>
                </c:pt>
                <c:pt idx="44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5B-4933-B3CA-2C08627B6251}"/>
            </c:ext>
          </c:extLst>
        </c:ser>
        <c:ser>
          <c:idx val="2"/>
          <c:order val="1"/>
          <c:tx>
            <c:strRef>
              <c:f>'Figure 1'!$C$1</c:f>
              <c:strCache>
                <c:ptCount val="1"/>
                <c:pt idx="0">
                  <c:v>Brazil, Paranaguá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1'!$A$2:$A$48</c:f>
              <c:strCache>
                <c:ptCount val="47"/>
                <c:pt idx="0">
                  <c:v>Jan 3</c:v>
                </c:pt>
                <c:pt idx="1">
                  <c:v>Jan 4</c:v>
                </c:pt>
                <c:pt idx="2">
                  <c:v>Jan 5</c:v>
                </c:pt>
                <c:pt idx="3">
                  <c:v>Jan 6</c:v>
                </c:pt>
                <c:pt idx="4">
                  <c:v>Jan 7</c:v>
                </c:pt>
                <c:pt idx="5">
                  <c:v>Jan 10</c:v>
                </c:pt>
                <c:pt idx="6">
                  <c:v>Jan 11</c:v>
                </c:pt>
                <c:pt idx="7">
                  <c:v>Jan 12</c:v>
                </c:pt>
                <c:pt idx="8">
                  <c:v>Jan 13</c:v>
                </c:pt>
                <c:pt idx="9">
                  <c:v>Jan 14</c:v>
                </c:pt>
                <c:pt idx="10">
                  <c:v>Jan 17</c:v>
                </c:pt>
                <c:pt idx="11">
                  <c:v>Jan 18</c:v>
                </c:pt>
                <c:pt idx="12">
                  <c:v>Jan 19</c:v>
                </c:pt>
                <c:pt idx="13">
                  <c:v>Jan 20</c:v>
                </c:pt>
                <c:pt idx="14">
                  <c:v>Jan 21</c:v>
                </c:pt>
                <c:pt idx="15">
                  <c:v>Jan 24</c:v>
                </c:pt>
                <c:pt idx="16">
                  <c:v>Jan 25</c:v>
                </c:pt>
                <c:pt idx="17">
                  <c:v>Jan26</c:v>
                </c:pt>
                <c:pt idx="18">
                  <c:v>Jan 27</c:v>
                </c:pt>
                <c:pt idx="19">
                  <c:v>Jan 28</c:v>
                </c:pt>
                <c:pt idx="20">
                  <c:v>Jan 31</c:v>
                </c:pt>
                <c:pt idx="21">
                  <c:v>Feb 1</c:v>
                </c:pt>
                <c:pt idx="22">
                  <c:v>Feb 2</c:v>
                </c:pt>
                <c:pt idx="23">
                  <c:v>Feb 3</c:v>
                </c:pt>
                <c:pt idx="24">
                  <c:v>Feb 4</c:v>
                </c:pt>
                <c:pt idx="25">
                  <c:v>Feb 7</c:v>
                </c:pt>
                <c:pt idx="26">
                  <c:v>Feb 8</c:v>
                </c:pt>
                <c:pt idx="27">
                  <c:v>Feb 9</c:v>
                </c:pt>
                <c:pt idx="28">
                  <c:v>Feb 10</c:v>
                </c:pt>
                <c:pt idx="29">
                  <c:v>Feb 11</c:v>
                </c:pt>
                <c:pt idx="30">
                  <c:v>Feb 14</c:v>
                </c:pt>
                <c:pt idx="31">
                  <c:v>Feb 15</c:v>
                </c:pt>
                <c:pt idx="32">
                  <c:v>Feb 16</c:v>
                </c:pt>
                <c:pt idx="33">
                  <c:v>Feb 17</c:v>
                </c:pt>
                <c:pt idx="34">
                  <c:v>Feb 18</c:v>
                </c:pt>
                <c:pt idx="35">
                  <c:v>Feb 21</c:v>
                </c:pt>
                <c:pt idx="36">
                  <c:v>Feb 22</c:v>
                </c:pt>
                <c:pt idx="37">
                  <c:v>Feb 23</c:v>
                </c:pt>
                <c:pt idx="38">
                  <c:v>Feb 24</c:v>
                </c:pt>
                <c:pt idx="39">
                  <c:v>Feb 25</c:v>
                </c:pt>
                <c:pt idx="40">
                  <c:v>Feb 28</c:v>
                </c:pt>
                <c:pt idx="41">
                  <c:v>Mar 1</c:v>
                </c:pt>
                <c:pt idx="42">
                  <c:v>Mar 2</c:v>
                </c:pt>
                <c:pt idx="43">
                  <c:v>Mar 3</c:v>
                </c:pt>
                <c:pt idx="44">
                  <c:v>Mar 4</c:v>
                </c:pt>
                <c:pt idx="45">
                  <c:v>Mar 7</c:v>
                </c:pt>
                <c:pt idx="46">
                  <c:v>Mar 8</c:v>
                </c:pt>
              </c:strCache>
            </c:strRef>
          </c:cat>
          <c:val>
            <c:numRef>
              <c:f>'Figure 1'!$C$2:$C$46</c:f>
              <c:numCache>
                <c:formatCode>General</c:formatCode>
                <c:ptCount val="45"/>
                <c:pt idx="0">
                  <c:v>528</c:v>
                </c:pt>
                <c:pt idx="1">
                  <c:v>542</c:v>
                </c:pt>
                <c:pt idx="2">
                  <c:v>544</c:v>
                </c:pt>
                <c:pt idx="3">
                  <c:v>543</c:v>
                </c:pt>
                <c:pt idx="4">
                  <c:v>551</c:v>
                </c:pt>
                <c:pt idx="5">
                  <c:v>542</c:v>
                </c:pt>
                <c:pt idx="6">
                  <c:v>543</c:v>
                </c:pt>
                <c:pt idx="7">
                  <c:v>548</c:v>
                </c:pt>
                <c:pt idx="8">
                  <c:v>527</c:v>
                </c:pt>
                <c:pt idx="9">
                  <c:v>524</c:v>
                </c:pt>
                <c:pt idx="10">
                  <c:v>524</c:v>
                </c:pt>
                <c:pt idx="11">
                  <c:v>523</c:v>
                </c:pt>
                <c:pt idx="12">
                  <c:v>538</c:v>
                </c:pt>
                <c:pt idx="13">
                  <c:v>554</c:v>
                </c:pt>
                <c:pt idx="14">
                  <c:v>549</c:v>
                </c:pt>
                <c:pt idx="15">
                  <c:v>546</c:v>
                </c:pt>
                <c:pt idx="16">
                  <c:v>550</c:v>
                </c:pt>
                <c:pt idx="17">
                  <c:v>563</c:v>
                </c:pt>
                <c:pt idx="18">
                  <c:v>567</c:v>
                </c:pt>
                <c:pt idx="19">
                  <c:v>575</c:v>
                </c:pt>
                <c:pt idx="20">
                  <c:v>585</c:v>
                </c:pt>
                <c:pt idx="21">
                  <c:v>599</c:v>
                </c:pt>
                <c:pt idx="22">
                  <c:v>610</c:v>
                </c:pt>
                <c:pt idx="23">
                  <c:v>613</c:v>
                </c:pt>
                <c:pt idx="24">
                  <c:v>619</c:v>
                </c:pt>
                <c:pt idx="25">
                  <c:v>627</c:v>
                </c:pt>
                <c:pt idx="26">
                  <c:v>622</c:v>
                </c:pt>
                <c:pt idx="27">
                  <c:v>630</c:v>
                </c:pt>
                <c:pt idx="28">
                  <c:v>617</c:v>
                </c:pt>
                <c:pt idx="29">
                  <c:v>621</c:v>
                </c:pt>
                <c:pt idx="30">
                  <c:v>614</c:v>
                </c:pt>
                <c:pt idx="31">
                  <c:v>611</c:v>
                </c:pt>
                <c:pt idx="32">
                  <c:v>631</c:v>
                </c:pt>
                <c:pt idx="33">
                  <c:v>638</c:v>
                </c:pt>
                <c:pt idx="34">
                  <c:v>644</c:v>
                </c:pt>
                <c:pt idx="35">
                  <c:v>644</c:v>
                </c:pt>
                <c:pt idx="36">
                  <c:v>658</c:v>
                </c:pt>
                <c:pt idx="37">
                  <c:v>676</c:v>
                </c:pt>
                <c:pt idx="38">
                  <c:v>671</c:v>
                </c:pt>
                <c:pt idx="39">
                  <c:v>645</c:v>
                </c:pt>
                <c:pt idx="40">
                  <c:v>663</c:v>
                </c:pt>
                <c:pt idx="41">
                  <c:v>685</c:v>
                </c:pt>
                <c:pt idx="42">
                  <c:v>673</c:v>
                </c:pt>
                <c:pt idx="43">
                  <c:v>680</c:v>
                </c:pt>
                <c:pt idx="44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7-4AB5-8D28-CD9FD94CF478}"/>
            </c:ext>
          </c:extLst>
        </c:ser>
        <c:ser>
          <c:idx val="0"/>
          <c:order val="2"/>
          <c:tx>
            <c:strRef>
              <c:f>'Figure 1'!$D$1</c:f>
              <c:strCache>
                <c:ptCount val="1"/>
                <c:pt idx="0">
                  <c:v>United States, Gulf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1'!$A$2:$A$48</c:f>
              <c:strCache>
                <c:ptCount val="47"/>
                <c:pt idx="0">
                  <c:v>Jan 3</c:v>
                </c:pt>
                <c:pt idx="1">
                  <c:v>Jan 4</c:v>
                </c:pt>
                <c:pt idx="2">
                  <c:v>Jan 5</c:v>
                </c:pt>
                <c:pt idx="3">
                  <c:v>Jan 6</c:v>
                </c:pt>
                <c:pt idx="4">
                  <c:v>Jan 7</c:v>
                </c:pt>
                <c:pt idx="5">
                  <c:v>Jan 10</c:v>
                </c:pt>
                <c:pt idx="6">
                  <c:v>Jan 11</c:v>
                </c:pt>
                <c:pt idx="7">
                  <c:v>Jan 12</c:v>
                </c:pt>
                <c:pt idx="8">
                  <c:v>Jan 13</c:v>
                </c:pt>
                <c:pt idx="9">
                  <c:v>Jan 14</c:v>
                </c:pt>
                <c:pt idx="10">
                  <c:v>Jan 17</c:v>
                </c:pt>
                <c:pt idx="11">
                  <c:v>Jan 18</c:v>
                </c:pt>
                <c:pt idx="12">
                  <c:v>Jan 19</c:v>
                </c:pt>
                <c:pt idx="13">
                  <c:v>Jan 20</c:v>
                </c:pt>
                <c:pt idx="14">
                  <c:v>Jan 21</c:v>
                </c:pt>
                <c:pt idx="15">
                  <c:v>Jan 24</c:v>
                </c:pt>
                <c:pt idx="16">
                  <c:v>Jan 25</c:v>
                </c:pt>
                <c:pt idx="17">
                  <c:v>Jan26</c:v>
                </c:pt>
                <c:pt idx="18">
                  <c:v>Jan 27</c:v>
                </c:pt>
                <c:pt idx="19">
                  <c:v>Jan 28</c:v>
                </c:pt>
                <c:pt idx="20">
                  <c:v>Jan 31</c:v>
                </c:pt>
                <c:pt idx="21">
                  <c:v>Feb 1</c:v>
                </c:pt>
                <c:pt idx="22">
                  <c:v>Feb 2</c:v>
                </c:pt>
                <c:pt idx="23">
                  <c:v>Feb 3</c:v>
                </c:pt>
                <c:pt idx="24">
                  <c:v>Feb 4</c:v>
                </c:pt>
                <c:pt idx="25">
                  <c:v>Feb 7</c:v>
                </c:pt>
                <c:pt idx="26">
                  <c:v>Feb 8</c:v>
                </c:pt>
                <c:pt idx="27">
                  <c:v>Feb 9</c:v>
                </c:pt>
                <c:pt idx="28">
                  <c:v>Feb 10</c:v>
                </c:pt>
                <c:pt idx="29">
                  <c:v>Feb 11</c:v>
                </c:pt>
                <c:pt idx="30">
                  <c:v>Feb 14</c:v>
                </c:pt>
                <c:pt idx="31">
                  <c:v>Feb 15</c:v>
                </c:pt>
                <c:pt idx="32">
                  <c:v>Feb 16</c:v>
                </c:pt>
                <c:pt idx="33">
                  <c:v>Feb 17</c:v>
                </c:pt>
                <c:pt idx="34">
                  <c:v>Feb 18</c:v>
                </c:pt>
                <c:pt idx="35">
                  <c:v>Feb 21</c:v>
                </c:pt>
                <c:pt idx="36">
                  <c:v>Feb 22</c:v>
                </c:pt>
                <c:pt idx="37">
                  <c:v>Feb 23</c:v>
                </c:pt>
                <c:pt idx="38">
                  <c:v>Feb 24</c:v>
                </c:pt>
                <c:pt idx="39">
                  <c:v>Feb 25</c:v>
                </c:pt>
                <c:pt idx="40">
                  <c:v>Feb 28</c:v>
                </c:pt>
                <c:pt idx="41">
                  <c:v>Mar 1</c:v>
                </c:pt>
                <c:pt idx="42">
                  <c:v>Mar 2</c:v>
                </c:pt>
                <c:pt idx="43">
                  <c:v>Mar 3</c:v>
                </c:pt>
                <c:pt idx="44">
                  <c:v>Mar 4</c:v>
                </c:pt>
                <c:pt idx="45">
                  <c:v>Mar 7</c:v>
                </c:pt>
                <c:pt idx="46">
                  <c:v>Mar 8</c:v>
                </c:pt>
              </c:strCache>
            </c:strRef>
          </c:cat>
          <c:val>
            <c:numRef>
              <c:f>'Figure 1'!$D$2:$D$46</c:f>
              <c:numCache>
                <c:formatCode>General</c:formatCode>
                <c:ptCount val="45"/>
                <c:pt idx="0">
                  <c:v>540</c:v>
                </c:pt>
                <c:pt idx="1">
                  <c:v>553</c:v>
                </c:pt>
                <c:pt idx="2">
                  <c:v>553</c:v>
                </c:pt>
                <c:pt idx="3">
                  <c:v>552</c:v>
                </c:pt>
                <c:pt idx="4">
                  <c:v>560</c:v>
                </c:pt>
                <c:pt idx="5">
                  <c:v>553</c:v>
                </c:pt>
                <c:pt idx="6">
                  <c:v>554</c:v>
                </c:pt>
                <c:pt idx="7">
                  <c:v>560</c:v>
                </c:pt>
                <c:pt idx="8">
                  <c:v>554</c:v>
                </c:pt>
                <c:pt idx="9">
                  <c:v>551</c:v>
                </c:pt>
                <c:pt idx="10">
                  <c:v>551</c:v>
                </c:pt>
                <c:pt idx="11">
                  <c:v>548</c:v>
                </c:pt>
                <c:pt idx="12">
                  <c:v>561</c:v>
                </c:pt>
                <c:pt idx="13">
                  <c:v>573</c:v>
                </c:pt>
                <c:pt idx="14">
                  <c:v>569</c:v>
                </c:pt>
                <c:pt idx="15">
                  <c:v>565</c:v>
                </c:pt>
                <c:pt idx="16">
                  <c:v>569</c:v>
                </c:pt>
                <c:pt idx="17">
                  <c:v>581</c:v>
                </c:pt>
                <c:pt idx="18">
                  <c:v>584</c:v>
                </c:pt>
                <c:pt idx="19">
                  <c:v>592</c:v>
                </c:pt>
                <c:pt idx="20">
                  <c:v>597</c:v>
                </c:pt>
                <c:pt idx="21">
                  <c:v>611</c:v>
                </c:pt>
                <c:pt idx="22">
                  <c:v>615</c:v>
                </c:pt>
                <c:pt idx="23">
                  <c:v>617</c:v>
                </c:pt>
                <c:pt idx="24">
                  <c:v>620</c:v>
                </c:pt>
                <c:pt idx="25">
                  <c:v>631</c:v>
                </c:pt>
                <c:pt idx="26">
                  <c:v>628</c:v>
                </c:pt>
                <c:pt idx="27">
                  <c:v>637</c:v>
                </c:pt>
                <c:pt idx="28">
                  <c:v>630</c:v>
                </c:pt>
                <c:pt idx="29">
                  <c:v>633</c:v>
                </c:pt>
                <c:pt idx="30">
                  <c:v>628</c:v>
                </c:pt>
                <c:pt idx="31">
                  <c:v>619</c:v>
                </c:pt>
                <c:pt idx="32">
                  <c:v>629</c:v>
                </c:pt>
                <c:pt idx="33">
                  <c:v>631</c:v>
                </c:pt>
                <c:pt idx="34">
                  <c:v>634</c:v>
                </c:pt>
                <c:pt idx="35">
                  <c:v>634</c:v>
                </c:pt>
                <c:pt idx="36">
                  <c:v>647</c:v>
                </c:pt>
                <c:pt idx="37">
                  <c:v>661</c:v>
                </c:pt>
                <c:pt idx="38">
                  <c:v>656</c:v>
                </c:pt>
                <c:pt idx="39">
                  <c:v>630</c:v>
                </c:pt>
                <c:pt idx="40">
                  <c:v>650</c:v>
                </c:pt>
                <c:pt idx="41">
                  <c:v>673</c:v>
                </c:pt>
                <c:pt idx="42">
                  <c:v>662</c:v>
                </c:pt>
                <c:pt idx="43">
                  <c:v>664</c:v>
                </c:pt>
                <c:pt idx="44">
                  <c:v>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5B-4933-B3CA-2C08627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31864080257"/>
              <c:y val="0.88515986850824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tickLblSkip val="2"/>
        <c:noMultiLvlLbl val="0"/>
      </c:catAx>
      <c:valAx>
        <c:axId val="667170632"/>
        <c:scaling>
          <c:orientation val="minMax"/>
          <c:max val="750"/>
          <c:min val="4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metric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6.6328359496832211E-3"/>
              <c:y val="0.120310138427697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565699610980135E-2"/>
          <c:y val="0.17095648906372654"/>
          <c:w val="0.84619911295380201"/>
          <c:h val="0.10836672866267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 domestic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oybean oil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supply and disappearance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6502456423716263E-4"/>
          <c:y val="2.7617793616064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0030284675954E-2"/>
          <c:y val="0.21514552686728111"/>
          <c:w val="0.91218773134127462"/>
          <c:h val="0.5606515391971352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2'!$C$1</c:f>
              <c:strCache>
                <c:ptCount val="1"/>
                <c:pt idx="0">
                  <c:v>Food, feed, and other industrial use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2'!$A$2:$A$23</c:f>
              <c:strCache>
                <c:ptCount val="22"/>
                <c:pt idx="0">
                  <c:v> 2000/01 </c:v>
                </c:pt>
                <c:pt idx="1">
                  <c:v> 2001/02 </c:v>
                </c:pt>
                <c:pt idx="2">
                  <c:v> 2002/03 </c:v>
                </c:pt>
                <c:pt idx="3">
                  <c:v> 2003/04 </c:v>
                </c:pt>
                <c:pt idx="4">
                  <c:v> 2004/05 </c:v>
                </c:pt>
                <c:pt idx="5">
                  <c:v> 2005/06 </c:v>
                </c:pt>
                <c:pt idx="6">
                  <c:v> 2006/07 </c:v>
                </c:pt>
                <c:pt idx="7">
                  <c:v> 2007/08 </c:v>
                </c:pt>
                <c:pt idx="8">
                  <c:v> 2008/09 </c:v>
                </c:pt>
                <c:pt idx="9">
                  <c:v> 2009/10 </c:v>
                </c:pt>
                <c:pt idx="10">
                  <c:v> 2010/11 </c:v>
                </c:pt>
                <c:pt idx="11">
                  <c:v> 2011/12 </c:v>
                </c:pt>
                <c:pt idx="12">
                  <c:v> 2012/13 </c:v>
                </c:pt>
                <c:pt idx="13">
                  <c:v> 2013/14 </c:v>
                </c:pt>
                <c:pt idx="14">
                  <c:v> 2014/15 </c:v>
                </c:pt>
                <c:pt idx="15">
                  <c:v> 2015/16 </c:v>
                </c:pt>
                <c:pt idx="16">
                  <c:v> 2016/17 </c:v>
                </c:pt>
                <c:pt idx="17">
                  <c:v> 2017/18 </c:v>
                </c:pt>
                <c:pt idx="18">
                  <c:v> 2018/19 </c:v>
                </c:pt>
                <c:pt idx="19">
                  <c:v> 2019/20 </c:v>
                </c:pt>
                <c:pt idx="20">
                  <c:v> 2020/21 </c:v>
                </c:pt>
                <c:pt idx="21">
                  <c:v> 2021/2022* </c:v>
                </c:pt>
              </c:strCache>
            </c:strRef>
          </c:cat>
          <c:val>
            <c:numRef>
              <c:f>'Figure 2'!$C$2:$C$23</c:f>
              <c:numCache>
                <c:formatCode>_(* #,##0_);_(* \(#,##0\);_(* "-"_);_(@_)</c:formatCode>
                <c:ptCount val="22"/>
                <c:pt idx="0">
                  <c:v>16273.303584211202</c:v>
                </c:pt>
                <c:pt idx="1">
                  <c:v>16741.468534791995</c:v>
                </c:pt>
                <c:pt idx="2">
                  <c:v>16962.006045237133</c:v>
                </c:pt>
                <c:pt idx="3">
                  <c:v>16739.535088455912</c:v>
                </c:pt>
                <c:pt idx="4">
                  <c:v>16993.786170940966</c:v>
                </c:pt>
                <c:pt idx="5">
                  <c:v>16403.556072068335</c:v>
                </c:pt>
                <c:pt idx="6">
                  <c:v>15812.953324537999</c:v>
                </c:pt>
                <c:pt idx="7">
                  <c:v>15089.536750981042</c:v>
                </c:pt>
                <c:pt idx="8">
                  <c:v>14244.238554535788</c:v>
                </c:pt>
                <c:pt idx="9">
                  <c:v>14133.889162851212</c:v>
                </c:pt>
                <c:pt idx="10">
                  <c:v>13807.867988755741</c:v>
                </c:pt>
                <c:pt idx="11">
                  <c:v>13635.992211178949</c:v>
                </c:pt>
                <c:pt idx="12">
                  <c:v>14098.095206426311</c:v>
                </c:pt>
                <c:pt idx="13">
                  <c:v>13828.968419179677</c:v>
                </c:pt>
                <c:pt idx="14">
                  <c:v>13920.131077093276</c:v>
                </c:pt>
                <c:pt idx="15">
                  <c:v>14492.247412149667</c:v>
                </c:pt>
                <c:pt idx="16">
                  <c:v>13662.016352975796</c:v>
                </c:pt>
                <c:pt idx="17">
                  <c:v>14046.500607507569</c:v>
                </c:pt>
                <c:pt idx="18">
                  <c:v>14210.857005018133</c:v>
                </c:pt>
                <c:pt idx="19">
                  <c:v>13659.14198267788</c:v>
                </c:pt>
                <c:pt idx="20">
                  <c:v>14472.574507567337</c:v>
                </c:pt>
                <c:pt idx="21">
                  <c:v>14385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8-415B-A73B-EFF178683599}"/>
            </c:ext>
          </c:extLst>
        </c:ser>
        <c:ser>
          <c:idx val="1"/>
          <c:order val="2"/>
          <c:tx>
            <c:strRef>
              <c:f>'Figure 2'!$D$1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2'!$A$2:$A$23</c:f>
              <c:strCache>
                <c:ptCount val="22"/>
                <c:pt idx="0">
                  <c:v> 2000/01 </c:v>
                </c:pt>
                <c:pt idx="1">
                  <c:v> 2001/02 </c:v>
                </c:pt>
                <c:pt idx="2">
                  <c:v> 2002/03 </c:v>
                </c:pt>
                <c:pt idx="3">
                  <c:v> 2003/04 </c:v>
                </c:pt>
                <c:pt idx="4">
                  <c:v> 2004/05 </c:v>
                </c:pt>
                <c:pt idx="5">
                  <c:v> 2005/06 </c:v>
                </c:pt>
                <c:pt idx="6">
                  <c:v> 2006/07 </c:v>
                </c:pt>
                <c:pt idx="7">
                  <c:v> 2007/08 </c:v>
                </c:pt>
                <c:pt idx="8">
                  <c:v> 2008/09 </c:v>
                </c:pt>
                <c:pt idx="9">
                  <c:v> 2009/10 </c:v>
                </c:pt>
                <c:pt idx="10">
                  <c:v> 2010/11 </c:v>
                </c:pt>
                <c:pt idx="11">
                  <c:v> 2011/12 </c:v>
                </c:pt>
                <c:pt idx="12">
                  <c:v> 2012/13 </c:v>
                </c:pt>
                <c:pt idx="13">
                  <c:v> 2013/14 </c:v>
                </c:pt>
                <c:pt idx="14">
                  <c:v> 2014/15 </c:v>
                </c:pt>
                <c:pt idx="15">
                  <c:v> 2015/16 </c:v>
                </c:pt>
                <c:pt idx="16">
                  <c:v> 2016/17 </c:v>
                </c:pt>
                <c:pt idx="17">
                  <c:v> 2017/18 </c:v>
                </c:pt>
                <c:pt idx="18">
                  <c:v> 2018/19 </c:v>
                </c:pt>
                <c:pt idx="19">
                  <c:v> 2019/20 </c:v>
                </c:pt>
                <c:pt idx="20">
                  <c:v> 2020/21 </c:v>
                </c:pt>
                <c:pt idx="21">
                  <c:v> 2021/2022* </c:v>
                </c:pt>
              </c:strCache>
            </c:strRef>
          </c:cat>
          <c:val>
            <c:numRef>
              <c:f>'Figure 2'!$D$2:$D$23</c:f>
              <c:numCache>
                <c:formatCode>_(* #,##0_);_(* \(#,##0\);_(* "-"_);_(@_)</c:formatCode>
                <c:ptCount val="22"/>
                <c:pt idx="0">
                  <c:v>45.013540999999996</c:v>
                </c:pt>
                <c:pt idx="1">
                  <c:v>91.846829</c:v>
                </c:pt>
                <c:pt idx="2">
                  <c:v>120.669622</c:v>
                </c:pt>
                <c:pt idx="3">
                  <c:v>124.37147</c:v>
                </c:pt>
                <c:pt idx="4">
                  <c:v>445.22957300000002</c:v>
                </c:pt>
                <c:pt idx="5">
                  <c:v>1555.0262250000001</c:v>
                </c:pt>
                <c:pt idx="6">
                  <c:v>2761.6</c:v>
                </c:pt>
                <c:pt idx="7">
                  <c:v>3245.2</c:v>
                </c:pt>
                <c:pt idx="8">
                  <c:v>2021</c:v>
                </c:pt>
                <c:pt idx="9">
                  <c:v>1680.3240000000001</c:v>
                </c:pt>
                <c:pt idx="10">
                  <c:v>2737</c:v>
                </c:pt>
                <c:pt idx="11">
                  <c:v>4874</c:v>
                </c:pt>
                <c:pt idx="12">
                  <c:v>4689</c:v>
                </c:pt>
                <c:pt idx="13">
                  <c:v>5077.57</c:v>
                </c:pt>
                <c:pt idx="14">
                  <c:v>5038.7700000000004</c:v>
                </c:pt>
                <c:pt idx="15">
                  <c:v>5670</c:v>
                </c:pt>
                <c:pt idx="16">
                  <c:v>6200.3</c:v>
                </c:pt>
                <c:pt idx="17">
                  <c:v>7333.71</c:v>
                </c:pt>
                <c:pt idx="18">
                  <c:v>8663.2999999999993</c:v>
                </c:pt>
                <c:pt idx="19">
                  <c:v>8657.82</c:v>
                </c:pt>
                <c:pt idx="20">
                  <c:v>8850</c:v>
                </c:pt>
                <c:pt idx="21">
                  <c:v>10700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8-415B-A73B-EFF178683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455439"/>
        <c:axId val="1284457935"/>
      </c:barChart>
      <c:lineChart>
        <c:grouping val="standard"/>
        <c:varyColors val="0"/>
        <c:ser>
          <c:idx val="2"/>
          <c:order val="0"/>
          <c:tx>
            <c:strRef>
              <c:f>'Figure 2'!$B$1</c:f>
              <c:strCache>
                <c:ptCount val="1"/>
                <c:pt idx="0">
                  <c:v>Supply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2'!$B$2:$B$23</c:f>
              <c:numCache>
                <c:formatCode>_(* #,##0_);_(* \(#,##0\);_(* "-"_);_(@_)</c:formatCode>
                <c:ptCount val="22"/>
                <c:pt idx="0">
                  <c:v>20486.239808787388</c:v>
                </c:pt>
                <c:pt idx="1">
                  <c:v>21711.158004061046</c:v>
                </c:pt>
                <c:pt idx="2">
                  <c:v>20834.724804126432</c:v>
                </c:pt>
                <c:pt idx="3">
                  <c:v>18875.487028418342</c:v>
                </c:pt>
                <c:pt idx="4">
                  <c:v>20461.668298979559</c:v>
                </c:pt>
                <c:pt idx="5" formatCode="_(* #,##0_);_(* \(#,##0\);_(* &quot;-&quot;??_);_(@_)">
                  <c:v>22121.737014126935</c:v>
                </c:pt>
                <c:pt idx="6">
                  <c:v>23536.373293445711</c:v>
                </c:pt>
                <c:pt idx="7">
                  <c:v>23730.385935720853</c:v>
                </c:pt>
                <c:pt idx="8">
                  <c:v>21319.177564909052</c:v>
                </c:pt>
                <c:pt idx="9">
                  <c:v>22578.479547272767</c:v>
                </c:pt>
                <c:pt idx="10">
                  <c:v>22452.875851675115</c:v>
                </c:pt>
                <c:pt idx="11">
                  <c:v>22564.105462120722</c:v>
                </c:pt>
                <c:pt idx="12">
                  <c:v>22605.589709601161</c:v>
                </c:pt>
                <c:pt idx="13">
                  <c:v>21950.038931182247</c:v>
                </c:pt>
                <c:pt idx="14">
                  <c:v>22828.092465326805</c:v>
                </c:pt>
                <c:pt idx="15">
                  <c:v>24091.602320751408</c:v>
                </c:pt>
                <c:pt idx="16">
                  <c:v>24128.933269060301</c:v>
                </c:pt>
                <c:pt idx="17">
                  <c:v>25818.682172426754</c:v>
                </c:pt>
                <c:pt idx="18">
                  <c:v>26589.894973010902</c:v>
                </c:pt>
                <c:pt idx="19">
                  <c:v>27006.327773841283</c:v>
                </c:pt>
                <c:pt idx="20">
                  <c:v>27177.306294251994</c:v>
                </c:pt>
                <c:pt idx="21">
                  <c:v>28786.233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3-435E-B4CA-747619E6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55439"/>
        <c:axId val="1284457935"/>
      </c:lineChart>
      <c:lineChart>
        <c:grouping val="standard"/>
        <c:varyColors val="0"/>
        <c:ser>
          <c:idx val="3"/>
          <c:order val="3"/>
          <c:tx>
            <c:strRef>
              <c:f>'Figure 2'!$E$1</c:f>
              <c:strCache>
                <c:ptCount val="1"/>
                <c:pt idx="0">
                  <c:v>Season-average soybean oil price, Decatur, Illinois</c:v>
                </c:pt>
              </c:strCache>
            </c:strRef>
          </c:tx>
          <c:spPr>
            <a:ln w="381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2'!$A$2:$A$23</c:f>
              <c:strCache>
                <c:ptCount val="22"/>
                <c:pt idx="0">
                  <c:v> 2000/01 </c:v>
                </c:pt>
                <c:pt idx="1">
                  <c:v> 2001/02 </c:v>
                </c:pt>
                <c:pt idx="2">
                  <c:v> 2002/03 </c:v>
                </c:pt>
                <c:pt idx="3">
                  <c:v> 2003/04 </c:v>
                </c:pt>
                <c:pt idx="4">
                  <c:v> 2004/05 </c:v>
                </c:pt>
                <c:pt idx="5">
                  <c:v> 2005/06 </c:v>
                </c:pt>
                <c:pt idx="6">
                  <c:v> 2006/07 </c:v>
                </c:pt>
                <c:pt idx="7">
                  <c:v> 2007/08 </c:v>
                </c:pt>
                <c:pt idx="8">
                  <c:v> 2008/09 </c:v>
                </c:pt>
                <c:pt idx="9">
                  <c:v> 2009/10 </c:v>
                </c:pt>
                <c:pt idx="10">
                  <c:v> 2010/11 </c:v>
                </c:pt>
                <c:pt idx="11">
                  <c:v> 2011/12 </c:v>
                </c:pt>
                <c:pt idx="12">
                  <c:v> 2012/13 </c:v>
                </c:pt>
                <c:pt idx="13">
                  <c:v> 2013/14 </c:v>
                </c:pt>
                <c:pt idx="14">
                  <c:v> 2014/15 </c:v>
                </c:pt>
                <c:pt idx="15">
                  <c:v> 2015/16 </c:v>
                </c:pt>
                <c:pt idx="16">
                  <c:v> 2016/17 </c:v>
                </c:pt>
                <c:pt idx="17">
                  <c:v> 2017/18 </c:v>
                </c:pt>
                <c:pt idx="18">
                  <c:v> 2018/19 </c:v>
                </c:pt>
                <c:pt idx="19">
                  <c:v> 2019/20 </c:v>
                </c:pt>
                <c:pt idx="20">
                  <c:v> 2020/21 </c:v>
                </c:pt>
                <c:pt idx="21">
                  <c:v> 2021/2022* </c:v>
                </c:pt>
              </c:strCache>
            </c:strRef>
          </c:cat>
          <c:val>
            <c:numRef>
              <c:f>'Figure 2'!$E$2:$E$23</c:f>
              <c:numCache>
                <c:formatCode>_(* #,##0.00_);_(* \(#,##0.00\);_(* "-"_);_(@_)</c:formatCode>
                <c:ptCount val="22"/>
                <c:pt idx="0">
                  <c:v>14.149999999999999</c:v>
                </c:pt>
                <c:pt idx="1">
                  <c:v>16.46</c:v>
                </c:pt>
                <c:pt idx="2">
                  <c:v>22.040000000000003</c:v>
                </c:pt>
                <c:pt idx="3">
                  <c:v>29.970000000000002</c:v>
                </c:pt>
                <c:pt idx="4">
                  <c:v>23.01</c:v>
                </c:pt>
                <c:pt idx="5">
                  <c:v>23.41</c:v>
                </c:pt>
                <c:pt idx="6">
                  <c:v>31.019999999999996</c:v>
                </c:pt>
                <c:pt idx="7">
                  <c:v>52.03</c:v>
                </c:pt>
                <c:pt idx="8">
                  <c:v>32.159999999999997</c:v>
                </c:pt>
                <c:pt idx="9">
                  <c:v>35.949999999999996</c:v>
                </c:pt>
                <c:pt idx="10">
                  <c:v>53.2</c:v>
                </c:pt>
                <c:pt idx="11">
                  <c:v>51.9</c:v>
                </c:pt>
                <c:pt idx="12">
                  <c:v>47.13</c:v>
                </c:pt>
                <c:pt idx="13">
                  <c:v>38.229999999999997</c:v>
                </c:pt>
                <c:pt idx="14">
                  <c:v>31.6</c:v>
                </c:pt>
                <c:pt idx="15">
                  <c:v>29.86</c:v>
                </c:pt>
                <c:pt idx="16">
                  <c:v>32.475000000000001</c:v>
                </c:pt>
                <c:pt idx="17">
                  <c:v>30.04</c:v>
                </c:pt>
                <c:pt idx="18">
                  <c:v>28.2575</c:v>
                </c:pt>
                <c:pt idx="19">
                  <c:v>29.65</c:v>
                </c:pt>
                <c:pt idx="20">
                  <c:v>56.87</c:v>
                </c:pt>
                <c:pt idx="2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8-415B-A73B-EFF178683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091359"/>
        <c:axId val="1263800863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421478565179352"/>
              <c:y val="0.8957173594579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pounds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025641025641025E-3"/>
              <c:y val="0.12609682530942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126380086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Cents per pound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6271367521367526"/>
              <c:y val="0.12893155255359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8091359"/>
        <c:crosses val="max"/>
        <c:crossBetween val="between"/>
      </c:valAx>
      <c:catAx>
        <c:axId val="1288091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3800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8261491352042531E-2"/>
          <c:y val="0.13458361309487477"/>
          <c:w val="0.77606226948177492"/>
          <c:h val="0.16548937923457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Monthly average vegetable oil prices by major exporters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5.2719749470673529E-3"/>
          <c:y val="6.28943123107401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645002265539589E-2"/>
          <c:y val="0.19481067960680953"/>
          <c:w val="0.8587505861441358"/>
          <c:h val="0.58361679785314891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3'!$B$1</c:f>
              <c:strCache>
                <c:ptCount val="1"/>
                <c:pt idx="0">
                  <c:v>Palm oil, Malaysia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3'!$A$2:$A$19</c:f>
              <c:strCache>
                <c:ptCount val="18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  <c:pt idx="12">
                  <c:v>Oct 2021</c:v>
                </c:pt>
                <c:pt idx="13">
                  <c:v>Nov 2021</c:v>
                </c:pt>
                <c:pt idx="14">
                  <c:v>Dec 2021</c:v>
                </c:pt>
                <c:pt idx="15">
                  <c:v>Jan 2022</c:v>
                </c:pt>
                <c:pt idx="16">
                  <c:v>Feb 2022</c:v>
                </c:pt>
                <c:pt idx="17">
                  <c:v>Mar 2022*</c:v>
                </c:pt>
              </c:strCache>
            </c:strRef>
          </c:cat>
          <c:val>
            <c:numRef>
              <c:f>'Figure 3'!$B$2:$B$19</c:f>
              <c:numCache>
                <c:formatCode>_(* #,##0_);_(* \(#,##0\);_(* "-"_);_(@_)</c:formatCode>
                <c:ptCount val="18"/>
                <c:pt idx="0">
                  <c:v>770.63636363636363</c:v>
                </c:pt>
                <c:pt idx="1">
                  <c:v>867</c:v>
                </c:pt>
                <c:pt idx="2">
                  <c:v>934.82608695652175</c:v>
                </c:pt>
                <c:pt idx="3">
                  <c:v>990.09523809523807</c:v>
                </c:pt>
                <c:pt idx="4">
                  <c:v>1019.85</c:v>
                </c:pt>
                <c:pt idx="5">
                  <c:v>1039.8695652173913</c:v>
                </c:pt>
                <c:pt idx="6">
                  <c:v>1083.6818181818182</c:v>
                </c:pt>
                <c:pt idx="7">
                  <c:v>1165.9047619047619</c:v>
                </c:pt>
                <c:pt idx="8">
                  <c:v>1011.9090909090909</c:v>
                </c:pt>
                <c:pt idx="9">
                  <c:v>1079.4545454545455</c:v>
                </c:pt>
                <c:pt idx="10">
                  <c:v>1152.7272727272727</c:v>
                </c:pt>
                <c:pt idx="11">
                  <c:v>1180.3181818181818</c:v>
                </c:pt>
                <c:pt idx="12">
                  <c:v>1315.7142857142858</c:v>
                </c:pt>
                <c:pt idx="13">
                  <c:v>1352.1818181818182</c:v>
                </c:pt>
                <c:pt idx="14">
                  <c:v>1273.0869565217392</c:v>
                </c:pt>
                <c:pt idx="15">
                  <c:v>1353.2380952380952</c:v>
                </c:pt>
                <c:pt idx="16">
                  <c:v>1541.4</c:v>
                </c:pt>
                <c:pt idx="17">
                  <c:v>1862.5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C-40F3-8092-E02F068B3B5B}"/>
            </c:ext>
          </c:extLst>
        </c:ser>
        <c:ser>
          <c:idx val="0"/>
          <c:order val="1"/>
          <c:tx>
            <c:strRef>
              <c:f>'Figure 3'!$D$1</c:f>
              <c:strCache>
                <c:ptCount val="1"/>
                <c:pt idx="0">
                  <c:v>Sunflowerseed oil, Argentina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3'!$A$2:$A$19</c:f>
              <c:strCache>
                <c:ptCount val="18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  <c:pt idx="12">
                  <c:v>Oct 2021</c:v>
                </c:pt>
                <c:pt idx="13">
                  <c:v>Nov 2021</c:v>
                </c:pt>
                <c:pt idx="14">
                  <c:v>Dec 2021</c:v>
                </c:pt>
                <c:pt idx="15">
                  <c:v>Jan 2022</c:v>
                </c:pt>
                <c:pt idx="16">
                  <c:v>Feb 2022</c:v>
                </c:pt>
                <c:pt idx="17">
                  <c:v>Mar 2022*</c:v>
                </c:pt>
              </c:strCache>
            </c:strRef>
          </c:cat>
          <c:val>
            <c:numRef>
              <c:f>'Figure 3'!$D$2:$D$19</c:f>
              <c:numCache>
                <c:formatCode>_(* #,##0_);_(* \(#,##0\);_(* "-"_);_(@_)</c:formatCode>
                <c:ptCount val="18"/>
                <c:pt idx="0">
                  <c:v>951.81818181818187</c:v>
                </c:pt>
                <c:pt idx="1">
                  <c:v>1053.5714285714287</c:v>
                </c:pt>
                <c:pt idx="2">
                  <c:v>1130.2173913043478</c:v>
                </c:pt>
                <c:pt idx="3">
                  <c:v>1234.8571428571429</c:v>
                </c:pt>
                <c:pt idx="4">
                  <c:v>1290.5</c:v>
                </c:pt>
                <c:pt idx="5">
                  <c:v>1542.1739130434783</c:v>
                </c:pt>
                <c:pt idx="6">
                  <c:v>1511.0869565217392</c:v>
                </c:pt>
                <c:pt idx="7">
                  <c:v>1502.8571428571429</c:v>
                </c:pt>
                <c:pt idx="8">
                  <c:v>1295.6818181818182</c:v>
                </c:pt>
                <c:pt idx="9">
                  <c:v>1271.1363636363637</c:v>
                </c:pt>
                <c:pt idx="10">
                  <c:v>1312.5</c:v>
                </c:pt>
                <c:pt idx="11">
                  <c:v>1326.8181818181818</c:v>
                </c:pt>
                <c:pt idx="12">
                  <c:v>1380.952380952381</c:v>
                </c:pt>
                <c:pt idx="13">
                  <c:v>1403.6363636363637</c:v>
                </c:pt>
                <c:pt idx="14">
                  <c:v>1378.4782608695652</c:v>
                </c:pt>
                <c:pt idx="15">
                  <c:v>1358.5714285714287</c:v>
                </c:pt>
                <c:pt idx="16">
                  <c:v>1455.25</c:v>
                </c:pt>
                <c:pt idx="17">
                  <c:v>2045.8333333333333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C-40F3-8092-E02F068B3B5B}"/>
            </c:ext>
          </c:extLst>
        </c:ser>
        <c:ser>
          <c:idx val="2"/>
          <c:order val="2"/>
          <c:tx>
            <c:strRef>
              <c:f>'Figure 3'!$C$1</c:f>
              <c:strCache>
                <c:ptCount val="1"/>
                <c:pt idx="0">
                  <c:v>Soybean oil, Argentina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3'!$A$2:$A$19</c:f>
              <c:strCache>
                <c:ptCount val="18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  <c:pt idx="12">
                  <c:v>Oct 2021</c:v>
                </c:pt>
                <c:pt idx="13">
                  <c:v>Nov 2021</c:v>
                </c:pt>
                <c:pt idx="14">
                  <c:v>Dec 2021</c:v>
                </c:pt>
                <c:pt idx="15">
                  <c:v>Jan 2022</c:v>
                </c:pt>
                <c:pt idx="16">
                  <c:v>Feb 2022</c:v>
                </c:pt>
                <c:pt idx="17">
                  <c:v>Mar 2022*</c:v>
                </c:pt>
              </c:strCache>
            </c:strRef>
          </c:cat>
          <c:val>
            <c:numRef>
              <c:f>'Figure 3'!$C$2:$C$19</c:f>
              <c:numCache>
                <c:formatCode>_(* #,##0_);_(* \(#,##0\);_(* "-"_);_(@_)</c:formatCode>
                <c:ptCount val="18"/>
                <c:pt idx="0">
                  <c:v>821.13636363636363</c:v>
                </c:pt>
                <c:pt idx="1">
                  <c:v>943.61904761904759</c:v>
                </c:pt>
                <c:pt idx="2">
                  <c:v>1021.0434782608696</c:v>
                </c:pt>
                <c:pt idx="3">
                  <c:v>1057.3333333333333</c:v>
                </c:pt>
                <c:pt idx="4">
                  <c:v>1077.8499999999999</c:v>
                </c:pt>
                <c:pt idx="5">
                  <c:v>1209.608695652174</c:v>
                </c:pt>
                <c:pt idx="6">
                  <c:v>1239.9545454545455</c:v>
                </c:pt>
                <c:pt idx="7">
                  <c:v>1348.9047619047619</c:v>
                </c:pt>
                <c:pt idx="8">
                  <c:v>1190.8636363636363</c:v>
                </c:pt>
                <c:pt idx="9">
                  <c:v>1244.3181818181818</c:v>
                </c:pt>
                <c:pt idx="10">
                  <c:v>1301.3636363636363</c:v>
                </c:pt>
                <c:pt idx="11">
                  <c:v>1306.5</c:v>
                </c:pt>
                <c:pt idx="12">
                  <c:v>1397.3809523809523</c:v>
                </c:pt>
                <c:pt idx="13">
                  <c:v>1391.7272727272727</c:v>
                </c:pt>
                <c:pt idx="14">
                  <c:v>1351</c:v>
                </c:pt>
                <c:pt idx="15">
                  <c:v>1372.4285714285713</c:v>
                </c:pt>
                <c:pt idx="16">
                  <c:v>1531.9</c:v>
                </c:pt>
                <c:pt idx="17">
                  <c:v>1836.16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C-40F3-8092-E02F068B3B5B}"/>
            </c:ext>
          </c:extLst>
        </c:ser>
        <c:ser>
          <c:idx val="3"/>
          <c:order val="3"/>
          <c:tx>
            <c:strRef>
              <c:f>'Figure 3'!$E$1</c:f>
              <c:strCache>
                <c:ptCount val="1"/>
                <c:pt idx="0">
                  <c:v>Canola oil, Canada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3'!$A$2:$A$19</c:f>
              <c:strCache>
                <c:ptCount val="18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  <c:pt idx="12">
                  <c:v>Oct 2021</c:v>
                </c:pt>
                <c:pt idx="13">
                  <c:v>Nov 2021</c:v>
                </c:pt>
                <c:pt idx="14">
                  <c:v>Dec 2021</c:v>
                </c:pt>
                <c:pt idx="15">
                  <c:v>Jan 2022</c:v>
                </c:pt>
                <c:pt idx="16">
                  <c:v>Feb 2022</c:v>
                </c:pt>
                <c:pt idx="17">
                  <c:v>Mar 2022*</c:v>
                </c:pt>
              </c:strCache>
            </c:strRef>
          </c:cat>
          <c:val>
            <c:numRef>
              <c:f>'Figure 3'!$E$2:$E$19</c:f>
              <c:numCache>
                <c:formatCode>_(* #,##0_);_(* \(#,##0\);_(* "-"_);_(@_)</c:formatCode>
                <c:ptCount val="18"/>
                <c:pt idx="0">
                  <c:v>916</c:v>
                </c:pt>
                <c:pt idx="1">
                  <c:v>1084</c:v>
                </c:pt>
                <c:pt idx="2">
                  <c:v>1108</c:v>
                </c:pt>
                <c:pt idx="3">
                  <c:v>1206</c:v>
                </c:pt>
                <c:pt idx="4">
                  <c:v>1314</c:v>
                </c:pt>
                <c:pt idx="5">
                  <c:v>1398</c:v>
                </c:pt>
                <c:pt idx="6">
                  <c:v>1462</c:v>
                </c:pt>
                <c:pt idx="7">
                  <c:v>1667</c:v>
                </c:pt>
                <c:pt idx="8">
                  <c:v>1520</c:v>
                </c:pt>
                <c:pt idx="9">
                  <c:v>1480</c:v>
                </c:pt>
                <c:pt idx="10">
                  <c:v>1353</c:v>
                </c:pt>
                <c:pt idx="11">
                  <c:v>1400</c:v>
                </c:pt>
                <c:pt idx="12">
                  <c:v>1617</c:v>
                </c:pt>
                <c:pt idx="13">
                  <c:v>1698</c:v>
                </c:pt>
                <c:pt idx="14">
                  <c:v>1652</c:v>
                </c:pt>
                <c:pt idx="15">
                  <c:v>1744</c:v>
                </c:pt>
                <c:pt idx="16">
                  <c:v>1742</c:v>
                </c:pt>
                <c:pt idx="17">
                  <c:v>1844.79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C-40F3-8092-E02F068B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429585545583907"/>
              <c:y val="0.88904459294788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metric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4.605079201666939E-4"/>
              <c:y val="0.12937177985487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02874733941836"/>
          <c:y val="9.7775314603234437E-2"/>
          <c:w val="0.76897118274815068"/>
          <c:h val="8.7228258966265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Global major vegetable oils ending stocks as of September 30</a:t>
            </a:r>
            <a:endParaRPr lang="en-US" sz="1050" b="1"/>
          </a:p>
        </c:rich>
      </c:tx>
      <c:layout>
        <c:manualLayout>
          <c:xMode val="edge"/>
          <c:yMode val="edge"/>
          <c:x val="4.0231403017813201E-3"/>
          <c:y val="6.28915559976200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67130790144108E-2"/>
          <c:y val="0.16838478551766384"/>
          <c:w val="0.90944036402720718"/>
          <c:h val="0.53640131873759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4'!$B$2:$B$7</c:f>
              <c:numCache>
                <c:formatCode>_(* #,##0_);_(* \(#,##0\);_(* "-"_);_(@_)</c:formatCode>
                <c:ptCount val="6"/>
                <c:pt idx="0">
                  <c:v>10167</c:v>
                </c:pt>
                <c:pt idx="1">
                  <c:v>12520</c:v>
                </c:pt>
                <c:pt idx="2">
                  <c:v>13938</c:v>
                </c:pt>
                <c:pt idx="3">
                  <c:v>14290</c:v>
                </c:pt>
                <c:pt idx="4">
                  <c:v>13530</c:v>
                </c:pt>
                <c:pt idx="5">
                  <c:v>13559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9-4680-BCF2-A96A124E3F5D}"/>
            </c:ext>
          </c:extLst>
        </c:ser>
        <c:ser>
          <c:idx val="2"/>
          <c:order val="1"/>
          <c:tx>
            <c:strRef>
              <c:f>'Figure 4'!$C$1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4'!$A$2:$A$7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4'!$C$2:$C$7</c:f>
              <c:numCache>
                <c:formatCode>_(* #,##0_);_(* \(#,##0\);_(* "-"_);_(@_)</c:formatCode>
                <c:ptCount val="6"/>
                <c:pt idx="0">
                  <c:v>4095</c:v>
                </c:pt>
                <c:pt idx="1">
                  <c:v>4184</c:v>
                </c:pt>
                <c:pt idx="2">
                  <c:v>4633</c:v>
                </c:pt>
                <c:pt idx="3">
                  <c:v>5180</c:v>
                </c:pt>
                <c:pt idx="4">
                  <c:v>4860</c:v>
                </c:pt>
                <c:pt idx="5">
                  <c:v>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0-4EC5-80BD-EDBFF331057E}"/>
            </c:ext>
          </c:extLst>
        </c:ser>
        <c:ser>
          <c:idx val="0"/>
          <c:order val="2"/>
          <c:tx>
            <c:strRef>
              <c:f>'Figure 4'!$D$1</c:f>
              <c:strCache>
                <c:ptCount val="1"/>
                <c:pt idx="0">
                  <c:v>Canola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'Figure 4'!$A$2:$A$7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4'!$D$2:$D$7</c:f>
              <c:numCache>
                <c:formatCode>_(* #,##0_);_(* \(#,##0\);_(* "-"_);_(@_)</c:formatCode>
                <c:ptCount val="6"/>
                <c:pt idx="0">
                  <c:v>4217</c:v>
                </c:pt>
                <c:pt idx="1">
                  <c:v>3371</c:v>
                </c:pt>
                <c:pt idx="2">
                  <c:v>2861</c:v>
                </c:pt>
                <c:pt idx="3">
                  <c:v>2736</c:v>
                </c:pt>
                <c:pt idx="4">
                  <c:v>3329</c:v>
                </c:pt>
                <c:pt idx="5">
                  <c:v>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9-4680-BCF2-A96A124E3F5D}"/>
            </c:ext>
          </c:extLst>
        </c:ser>
        <c:ser>
          <c:idx val="3"/>
          <c:order val="3"/>
          <c:tx>
            <c:strRef>
              <c:f>'Figure 4'!$E$1</c:f>
              <c:strCache>
                <c:ptCount val="1"/>
                <c:pt idx="0">
                  <c:v>Sunflowerseed oil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4'!$A$2:$A$7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4'!$E$2:$E$7</c:f>
              <c:numCache>
                <c:formatCode>_(* #,##0_);_(* \(#,##0\);_(* "-"_);_(@_)</c:formatCode>
                <c:ptCount val="6"/>
                <c:pt idx="0">
                  <c:v>2511</c:v>
                </c:pt>
                <c:pt idx="1">
                  <c:v>2453</c:v>
                </c:pt>
                <c:pt idx="2">
                  <c:v>2087</c:v>
                </c:pt>
                <c:pt idx="3">
                  <c:v>2559</c:v>
                </c:pt>
                <c:pt idx="4">
                  <c:v>1739</c:v>
                </c:pt>
                <c:pt idx="5">
                  <c:v>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0-4EC5-80BD-EDBFF331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4.1716456032248796E-3"/>
              <c:y val="9.30248425882689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170727280829566"/>
          <c:y val="0.15285695737231278"/>
          <c:w val="0.88829272719170438"/>
          <c:h val="5.7788126843510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5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Ukrainian sunflowerseed oil supply and demand</a:t>
            </a:r>
            <a:endParaRPr lang="en-US" sz="1050" b="1"/>
          </a:p>
        </c:rich>
      </c:tx>
      <c:layout>
        <c:manualLayout>
          <c:xMode val="edge"/>
          <c:yMode val="edge"/>
          <c:x val="4.0231403017813201E-3"/>
          <c:y val="6.28915559976200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67130790144108E-2"/>
          <c:y val="0.16838478551766384"/>
          <c:w val="0.90944036402720718"/>
          <c:h val="0.55672655485872313"/>
        </c:manualLayout>
      </c:layout>
      <c:areaChart>
        <c:grouping val="stacked"/>
        <c:varyColors val="0"/>
        <c:ser>
          <c:idx val="0"/>
          <c:order val="0"/>
          <c:tx>
            <c:strRef>
              <c:f>'Figure 5'!$B$1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'Figure 5'!$A$2:$A$14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 Feb.*</c:v>
                </c:pt>
                <c:pt idx="12">
                  <c:v>2021/22 Mar.*</c:v>
                </c:pt>
              </c:strCache>
            </c:strRef>
          </c:cat>
          <c:val>
            <c:numRef>
              <c:f>'Figure 5'!$B$2:$B$14</c:f>
              <c:numCache>
                <c:formatCode>_(* #,##0_);_(* \(#,##0\);_(* "-"_);_(@_)</c:formatCode>
                <c:ptCount val="13"/>
                <c:pt idx="0">
                  <c:v>3480</c:v>
                </c:pt>
                <c:pt idx="1">
                  <c:v>4275</c:v>
                </c:pt>
                <c:pt idx="2">
                  <c:v>4101</c:v>
                </c:pt>
                <c:pt idx="3">
                  <c:v>5066</c:v>
                </c:pt>
                <c:pt idx="4">
                  <c:v>4766</c:v>
                </c:pt>
                <c:pt idx="5">
                  <c:v>5355</c:v>
                </c:pt>
                <c:pt idx="6">
                  <c:v>6656</c:v>
                </c:pt>
                <c:pt idx="7">
                  <c:v>6169</c:v>
                </c:pt>
                <c:pt idx="8">
                  <c:v>6643</c:v>
                </c:pt>
                <c:pt idx="9">
                  <c:v>7425</c:v>
                </c:pt>
                <c:pt idx="10">
                  <c:v>6102</c:v>
                </c:pt>
                <c:pt idx="11">
                  <c:v>7558</c:v>
                </c:pt>
                <c:pt idx="12">
                  <c:v>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1-4620-9173-3425C150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lineChart>
        <c:grouping val="standard"/>
        <c:varyColors val="0"/>
        <c:ser>
          <c:idx val="1"/>
          <c:order val="1"/>
          <c:tx>
            <c:strRef>
              <c:f>'Figure 5'!$C$1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F21-4620-9173-3425C150D957}"/>
              </c:ext>
            </c:extLst>
          </c:dPt>
          <c:cat>
            <c:strRef>
              <c:f>'Figure 5'!$A$2:$A$14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 Feb.*</c:v>
                </c:pt>
                <c:pt idx="12">
                  <c:v>2021/22 Mar.*</c:v>
                </c:pt>
              </c:strCache>
            </c:strRef>
          </c:cat>
          <c:val>
            <c:numRef>
              <c:f>'Figure 5'!$C$2:$C$14</c:f>
              <c:numCache>
                <c:formatCode>_(* #,##0_);_(* \(#,##0\);_(* "-"_);_(@_)</c:formatCode>
                <c:ptCount val="13"/>
                <c:pt idx="0">
                  <c:v>2652</c:v>
                </c:pt>
                <c:pt idx="1">
                  <c:v>3263</c:v>
                </c:pt>
                <c:pt idx="2">
                  <c:v>3245</c:v>
                </c:pt>
                <c:pt idx="3">
                  <c:v>4181</c:v>
                </c:pt>
                <c:pt idx="4">
                  <c:v>3872</c:v>
                </c:pt>
                <c:pt idx="5">
                  <c:v>4500</c:v>
                </c:pt>
                <c:pt idx="6">
                  <c:v>5851</c:v>
                </c:pt>
                <c:pt idx="7">
                  <c:v>5342</c:v>
                </c:pt>
                <c:pt idx="8">
                  <c:v>6063</c:v>
                </c:pt>
                <c:pt idx="9">
                  <c:v>6686</c:v>
                </c:pt>
                <c:pt idx="10">
                  <c:v>5273</c:v>
                </c:pt>
                <c:pt idx="11">
                  <c:v>6650</c:v>
                </c:pt>
                <c:pt idx="12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21-4620-9173-3425C150D957}"/>
            </c:ext>
          </c:extLst>
        </c:ser>
        <c:ser>
          <c:idx val="2"/>
          <c:order val="2"/>
          <c:tx>
            <c:strRef>
              <c:f>'Figure 5'!$D$1</c:f>
              <c:strCache>
                <c:ptCount val="1"/>
                <c:pt idx="0">
                  <c:v>Domestic consumption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F21-4620-9173-3425C150D957}"/>
              </c:ext>
            </c:extLst>
          </c:dPt>
          <c:cat>
            <c:strRef>
              <c:f>'Figure 5'!$A$2:$A$14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 Feb.*</c:v>
                </c:pt>
                <c:pt idx="12">
                  <c:v>2021/22 Mar.*</c:v>
                </c:pt>
              </c:strCache>
            </c:strRef>
          </c:cat>
          <c:val>
            <c:numRef>
              <c:f>'Figure 5'!$D$2:$D$14</c:f>
              <c:numCache>
                <c:formatCode>_(* #,##0_);_(* \(#,##0\);_(* "-"_);_(@_)</c:formatCode>
                <c:ptCount val="13"/>
                <c:pt idx="0">
                  <c:v>530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548</c:v>
                </c:pt>
                <c:pt idx="8">
                  <c:v>545</c:v>
                </c:pt>
                <c:pt idx="9">
                  <c:v>550</c:v>
                </c:pt>
                <c:pt idx="10">
                  <c:v>560</c:v>
                </c:pt>
                <c:pt idx="11">
                  <c:v>530</c:v>
                </c:pt>
                <c:pt idx="12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21-4620-9173-3425C150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</a:t>
                </a:r>
                <a:r>
                  <a:rPr lang="en-US" sz="900"/>
                  <a:t>ear</a:t>
                </a:r>
              </a:p>
            </c:rich>
          </c:tx>
          <c:layout>
            <c:manualLayout>
              <c:xMode val="edge"/>
              <c:yMode val="edge"/>
              <c:x val="0.45592508302381607"/>
              <c:y val="0.84605946208109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4.1716456032248796E-3"/>
              <c:y val="9.30248425882689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127986405545461"/>
          <c:y val="9.2689466202131657E-2"/>
          <c:w val="0.56682229625142999"/>
          <c:h val="4.9733481630979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6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Russian sunflowerseed oil supply and demand</a:t>
            </a:r>
            <a:endParaRPr lang="en-US" sz="1050" b="1"/>
          </a:p>
        </c:rich>
      </c:tx>
      <c:layout>
        <c:manualLayout>
          <c:xMode val="edge"/>
          <c:yMode val="edge"/>
          <c:x val="4.0231403017813201E-3"/>
          <c:y val="6.28915559976200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67130790144108E-2"/>
          <c:y val="0.16838478551766384"/>
          <c:w val="0.90944036402720718"/>
          <c:h val="0.55672655485872313"/>
        </c:manualLayout>
      </c:layout>
      <c:areaChart>
        <c:grouping val="stacke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'Figure 6'!$A$2:$A$14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 Feb.*</c:v>
                </c:pt>
                <c:pt idx="12">
                  <c:v>2021/22 Mar.*</c:v>
                </c:pt>
              </c:strCache>
            </c:strRef>
          </c:cat>
          <c:val>
            <c:numRef>
              <c:f>'Figure 6'!$B$2:$B$14</c:f>
              <c:numCache>
                <c:formatCode>_(* #,##0_);_(* \(#,##0\);_(* "-"_);_(@_)</c:formatCode>
                <c:ptCount val="13"/>
                <c:pt idx="0">
                  <c:v>2259</c:v>
                </c:pt>
                <c:pt idx="1">
                  <c:v>3537</c:v>
                </c:pt>
                <c:pt idx="2">
                  <c:v>3114</c:v>
                </c:pt>
                <c:pt idx="3">
                  <c:v>3948</c:v>
                </c:pt>
                <c:pt idx="4">
                  <c:v>3639</c:v>
                </c:pt>
                <c:pt idx="5">
                  <c:v>3768</c:v>
                </c:pt>
                <c:pt idx="6">
                  <c:v>4461</c:v>
                </c:pt>
                <c:pt idx="7">
                  <c:v>4467</c:v>
                </c:pt>
                <c:pt idx="8">
                  <c:v>5104</c:v>
                </c:pt>
                <c:pt idx="9">
                  <c:v>6028</c:v>
                </c:pt>
                <c:pt idx="10">
                  <c:v>5345</c:v>
                </c:pt>
                <c:pt idx="11">
                  <c:v>5998</c:v>
                </c:pt>
                <c:pt idx="12">
                  <c:v>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4-42CA-BC56-201D5C00C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lineChart>
        <c:grouping val="standard"/>
        <c:varyColors val="0"/>
        <c:ser>
          <c:idx val="1"/>
          <c:order val="1"/>
          <c:tx>
            <c:strRef>
              <c:f>'Figure 6'!$C$1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B4-42CA-BC56-201D5C00C8D2}"/>
              </c:ext>
            </c:extLst>
          </c:dPt>
          <c:cat>
            <c:strRef>
              <c:f>'Figure 6'!$A$2:$A$14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 Feb.*</c:v>
                </c:pt>
                <c:pt idx="12">
                  <c:v>2021/22 Mar.*</c:v>
                </c:pt>
              </c:strCache>
            </c:strRef>
          </c:cat>
          <c:val>
            <c:numRef>
              <c:f>'Figure 6'!$C$2:$C$14</c:f>
              <c:numCache>
                <c:formatCode>_(* #,##0_);_(* \(#,##0\);_(* "-"_);_(@_)</c:formatCode>
                <c:ptCount val="13"/>
                <c:pt idx="0">
                  <c:v>180</c:v>
                </c:pt>
                <c:pt idx="1">
                  <c:v>1427</c:v>
                </c:pt>
                <c:pt idx="2">
                  <c:v>1013</c:v>
                </c:pt>
                <c:pt idx="3">
                  <c:v>1800</c:v>
                </c:pt>
                <c:pt idx="4">
                  <c:v>1456</c:v>
                </c:pt>
                <c:pt idx="5">
                  <c:v>1541</c:v>
                </c:pt>
                <c:pt idx="6">
                  <c:v>2178</c:v>
                </c:pt>
                <c:pt idx="7">
                  <c:v>2310</c:v>
                </c:pt>
                <c:pt idx="8">
                  <c:v>2652</c:v>
                </c:pt>
                <c:pt idx="9">
                  <c:v>3830</c:v>
                </c:pt>
                <c:pt idx="10">
                  <c:v>3246</c:v>
                </c:pt>
                <c:pt idx="11">
                  <c:v>3799.5</c:v>
                </c:pt>
                <c:pt idx="12">
                  <c:v>3650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B4-42CA-BC56-201D5C00C8D2}"/>
            </c:ext>
          </c:extLst>
        </c:ser>
        <c:ser>
          <c:idx val="2"/>
          <c:order val="2"/>
          <c:tx>
            <c:strRef>
              <c:f>'Figure 6'!$D$1</c:f>
              <c:strCache>
                <c:ptCount val="1"/>
                <c:pt idx="0">
                  <c:v>Domestic consumption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B4-42CA-BC56-201D5C00C8D2}"/>
              </c:ext>
            </c:extLst>
          </c:dPt>
          <c:cat>
            <c:strRef>
              <c:f>'Figure 6'!$A$2:$A$14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 Feb.*</c:v>
                </c:pt>
                <c:pt idx="12">
                  <c:v>2021/22 Mar.*</c:v>
                </c:pt>
              </c:strCache>
            </c:strRef>
          </c:cat>
          <c:val>
            <c:numRef>
              <c:f>'Figure 6'!$D$2:$D$14</c:f>
              <c:numCache>
                <c:formatCode>_(* #,##0_);_(* \(#,##0\);_(* "-"_);_(@_)</c:formatCode>
                <c:ptCount val="13"/>
                <c:pt idx="0">
                  <c:v>1860</c:v>
                </c:pt>
                <c:pt idx="1">
                  <c:v>1910</c:v>
                </c:pt>
                <c:pt idx="2">
                  <c:v>1950</c:v>
                </c:pt>
                <c:pt idx="3">
                  <c:v>1940</c:v>
                </c:pt>
                <c:pt idx="4">
                  <c:v>1970</c:v>
                </c:pt>
                <c:pt idx="5">
                  <c:v>1955</c:v>
                </c:pt>
                <c:pt idx="6">
                  <c:v>2038</c:v>
                </c:pt>
                <c:pt idx="7">
                  <c:v>1998</c:v>
                </c:pt>
                <c:pt idx="8">
                  <c:v>2125</c:v>
                </c:pt>
                <c:pt idx="9">
                  <c:v>1975</c:v>
                </c:pt>
                <c:pt idx="10">
                  <c:v>1945</c:v>
                </c:pt>
                <c:pt idx="11">
                  <c:v>2024.5</c:v>
                </c:pt>
                <c:pt idx="12">
                  <c:v>2050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B4-42CA-BC56-201D5C00C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19685039362"/>
              <c:y val="0.84266108236713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4.1716456032248796E-3"/>
              <c:y val="9.30248425882689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486960764519817"/>
          <c:y val="9.2302027760412075E-2"/>
          <c:w val="0.65393700787401576"/>
          <c:h val="6.0524192878228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25398</xdr:colOff>
      <xdr:row>1</xdr:row>
      <xdr:rowOff>25402</xdr:rowOff>
    </xdr:from>
    <xdr:to>
      <xdr:col>16</xdr:col>
      <xdr:colOff>42334</xdr:colOff>
      <xdr:row>22</xdr:row>
      <xdr:rowOff>56730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4E556A1-7316-4BAB-A542-C6B4855BD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0.87408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99908"/>
          <a:ext cx="5985933" cy="47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123825</xdr:rowOff>
    </xdr:from>
    <xdr:to>
      <xdr:col>14</xdr:col>
      <xdr:colOff>76200</xdr:colOff>
      <xdr:row>23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41DCE5-9436-4FDC-879F-3AEBFC5C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0.86946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00425"/>
          <a:ext cx="5943600" cy="486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0.91574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85065"/>
          <a:ext cx="6708755" cy="302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International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Grains Council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55246</xdr:colOff>
      <xdr:row>0</xdr:row>
      <xdr:rowOff>95250</xdr:rowOff>
    </xdr:from>
    <xdr:to>
      <xdr:col>16</xdr:col>
      <xdr:colOff>45721</xdr:colOff>
      <xdr:row>19</xdr:row>
      <xdr:rowOff>50482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757E98A-7D58-42AB-9B56-B054DE9E5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0.9054</cdr:y>
    </cdr:from>
    <cdr:to>
      <cdr:x>0.98077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559969"/>
          <a:ext cx="5829305" cy="37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forecasts.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World Agricultural Outlook Board,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84667</xdr:colOff>
      <xdr:row>0</xdr:row>
      <xdr:rowOff>0</xdr:rowOff>
    </xdr:from>
    <xdr:to>
      <xdr:col>15</xdr:col>
      <xdr:colOff>284479</xdr:colOff>
      <xdr:row>23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440CB0-9131-44F4-96F0-A301A007B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0.91515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35399"/>
          <a:ext cx="7359348" cy="355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March 2022 prices are from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March 1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March 8, 2022.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International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Grains Council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125943</xdr:colOff>
      <xdr:row>0</xdr:row>
      <xdr:rowOff>63500</xdr:rowOff>
    </xdr:from>
    <xdr:to>
      <xdr:col>16</xdr:col>
      <xdr:colOff>114089</xdr:colOff>
      <xdr:row>22</xdr:row>
      <xdr:rowOff>150707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F833149-DEE1-4512-83D6-D096F89A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66675</xdr:rowOff>
    </xdr:from>
    <xdr:to>
      <xdr:col>14</xdr:col>
      <xdr:colOff>47625</xdr:colOff>
      <xdr:row>23</xdr:row>
      <xdr:rowOff>91440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A48B69A-7D4F-469E-A605-9B1FA4A58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3" bestFit="1" customWidth="1"/>
    <col min="2" max="16384" width="9.6640625" style="1"/>
  </cols>
  <sheetData>
    <row r="1" spans="1:3">
      <c r="A1" s="8" t="s">
        <v>0</v>
      </c>
      <c r="B1" s="137"/>
      <c r="C1" s="137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37"/>
    </row>
    <row r="5" spans="1:3">
      <c r="A5" s="11" t="s">
        <v>3</v>
      </c>
      <c r="B5" s="4"/>
      <c r="C5" s="137"/>
    </row>
    <row r="6" spans="1:3">
      <c r="A6" s="11" t="s">
        <v>4</v>
      </c>
      <c r="B6" s="4"/>
      <c r="C6" s="137"/>
    </row>
    <row r="7" spans="1:3">
      <c r="A7" s="11" t="s">
        <v>5</v>
      </c>
      <c r="B7" s="4"/>
      <c r="C7" s="137"/>
    </row>
    <row r="8" spans="1:3">
      <c r="A8" s="11" t="s">
        <v>6</v>
      </c>
      <c r="B8" s="4"/>
      <c r="C8" s="137"/>
    </row>
    <row r="9" spans="1:3">
      <c r="A9" s="11" t="s">
        <v>7</v>
      </c>
      <c r="B9" s="4"/>
      <c r="C9" s="137"/>
    </row>
    <row r="10" spans="1:3">
      <c r="A10" s="11" t="s">
        <v>8</v>
      </c>
      <c r="B10" s="4"/>
      <c r="C10" s="137"/>
    </row>
    <row r="11" spans="1:3">
      <c r="A11" s="11" t="s">
        <v>9</v>
      </c>
      <c r="B11" s="4"/>
      <c r="C11" s="137"/>
    </row>
    <row r="12" spans="1:3">
      <c r="A12" s="11" t="s">
        <v>10</v>
      </c>
      <c r="B12" s="4"/>
      <c r="C12" s="137"/>
    </row>
    <row r="13" spans="1:3">
      <c r="A13" s="12" t="s">
        <v>11</v>
      </c>
      <c r="B13" s="4"/>
      <c r="C13" s="137"/>
    </row>
    <row r="14" spans="1:3" ht="13.2">
      <c r="A14" s="137"/>
      <c r="B14" s="137"/>
      <c r="C14" s="137"/>
    </row>
    <row r="15" spans="1:3">
      <c r="A15" s="8" t="s">
        <v>12</v>
      </c>
      <c r="B15" s="138"/>
      <c r="C15" s="137"/>
    </row>
    <row r="16" spans="1:3">
      <c r="A16" s="10">
        <f ca="1">TODAY()</f>
        <v>44630</v>
      </c>
      <c r="B16" s="137"/>
      <c r="C16" s="137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24F9-A082-4B32-A034-DCF1D843068A}">
  <dimension ref="A1:E43"/>
  <sheetViews>
    <sheetView zoomScale="80" zoomScaleNormal="80" workbookViewId="0"/>
  </sheetViews>
  <sheetFormatPr defaultColWidth="8.88671875" defaultRowHeight="13.2"/>
  <cols>
    <col min="1" max="1" width="11.6640625" style="156" bestFit="1" customWidth="1"/>
    <col min="2" max="2" width="8.5546875" style="156" bestFit="1" customWidth="1"/>
    <col min="3" max="3" width="10.44140625" style="156" bestFit="1" customWidth="1"/>
    <col min="4" max="4" width="8.5546875" style="156" bestFit="1" customWidth="1"/>
    <col min="5" max="5" width="10.6640625" style="156" customWidth="1"/>
    <col min="6" max="16384" width="8.88671875" style="156"/>
  </cols>
  <sheetData>
    <row r="1" spans="1:5" ht="79.2">
      <c r="A1" s="155" t="s">
        <v>149</v>
      </c>
      <c r="B1" s="155" t="s">
        <v>15</v>
      </c>
      <c r="C1" s="155" t="s">
        <v>168</v>
      </c>
      <c r="D1" s="155" t="s">
        <v>157</v>
      </c>
      <c r="E1" s="155" t="s">
        <v>256</v>
      </c>
    </row>
    <row r="2" spans="1:5">
      <c r="A2" s="158" t="s">
        <v>158</v>
      </c>
      <c r="B2" s="161">
        <v>20486.239808787388</v>
      </c>
      <c r="C2" s="161">
        <v>16273.303584211202</v>
      </c>
      <c r="D2" s="161">
        <v>45.013540999999996</v>
      </c>
      <c r="E2" s="162">
        <v>14.149999999999999</v>
      </c>
    </row>
    <row r="3" spans="1:5">
      <c r="A3" s="158" t="s">
        <v>159</v>
      </c>
      <c r="B3" s="161">
        <v>21711.158004061046</v>
      </c>
      <c r="C3" s="161">
        <v>16741.468534791995</v>
      </c>
      <c r="D3" s="161">
        <v>91.846829</v>
      </c>
      <c r="E3" s="162">
        <v>16.46</v>
      </c>
    </row>
    <row r="4" spans="1:5">
      <c r="A4" s="158" t="s">
        <v>160</v>
      </c>
      <c r="B4" s="161">
        <v>20834.724804126432</v>
      </c>
      <c r="C4" s="161">
        <v>16962.006045237133</v>
      </c>
      <c r="D4" s="161">
        <v>120.669622</v>
      </c>
      <c r="E4" s="162">
        <v>22.040000000000003</v>
      </c>
    </row>
    <row r="5" spans="1:5">
      <c r="A5" s="158" t="s">
        <v>161</v>
      </c>
      <c r="B5" s="161">
        <v>18875.487028418342</v>
      </c>
      <c r="C5" s="161">
        <v>16739.535088455912</v>
      </c>
      <c r="D5" s="161">
        <v>124.37147</v>
      </c>
      <c r="E5" s="162">
        <v>29.970000000000002</v>
      </c>
    </row>
    <row r="6" spans="1:5">
      <c r="A6" s="158" t="s">
        <v>162</v>
      </c>
      <c r="B6" s="161">
        <v>20461.668298979559</v>
      </c>
      <c r="C6" s="161">
        <v>16993.786170940966</v>
      </c>
      <c r="D6" s="161">
        <v>445.22957300000002</v>
      </c>
      <c r="E6" s="162">
        <v>23.01</v>
      </c>
    </row>
    <row r="7" spans="1:5">
      <c r="A7" s="160" t="s">
        <v>163</v>
      </c>
      <c r="B7" s="163">
        <v>22121.737014126935</v>
      </c>
      <c r="C7" s="164">
        <v>16403.556072068335</v>
      </c>
      <c r="D7" s="164">
        <v>1555.0262250000001</v>
      </c>
      <c r="E7" s="165">
        <v>23.41</v>
      </c>
    </row>
    <row r="8" spans="1:5">
      <c r="A8" s="160" t="s">
        <v>164</v>
      </c>
      <c r="B8" s="161">
        <v>23536.373293445711</v>
      </c>
      <c r="C8" s="164">
        <v>15812.953324537999</v>
      </c>
      <c r="D8" s="164">
        <v>2761.6</v>
      </c>
      <c r="E8" s="165">
        <v>31.019999999999996</v>
      </c>
    </row>
    <row r="9" spans="1:5">
      <c r="A9" s="160" t="s">
        <v>165</v>
      </c>
      <c r="B9" s="161">
        <v>23730.385935720853</v>
      </c>
      <c r="C9" s="164">
        <v>15089.536750981042</v>
      </c>
      <c r="D9" s="164">
        <v>3245.2</v>
      </c>
      <c r="E9" s="165">
        <v>52.03</v>
      </c>
    </row>
    <row r="10" spans="1:5">
      <c r="A10" s="160" t="s">
        <v>166</v>
      </c>
      <c r="B10" s="161">
        <v>21319.177564909052</v>
      </c>
      <c r="C10" s="164">
        <v>14244.238554535788</v>
      </c>
      <c r="D10" s="164">
        <v>2021</v>
      </c>
      <c r="E10" s="165">
        <v>32.159999999999997</v>
      </c>
    </row>
    <row r="11" spans="1:5">
      <c r="A11" s="160" t="s">
        <v>167</v>
      </c>
      <c r="B11" s="161">
        <v>22578.479547272767</v>
      </c>
      <c r="C11" s="164">
        <v>14133.889162851212</v>
      </c>
      <c r="D11" s="164">
        <v>1680.3240000000001</v>
      </c>
      <c r="E11" s="165">
        <v>35.949999999999996</v>
      </c>
    </row>
    <row r="12" spans="1:5">
      <c r="A12" s="160" t="s">
        <v>109</v>
      </c>
      <c r="B12" s="161">
        <v>22452.875851675115</v>
      </c>
      <c r="C12" s="164">
        <v>13807.867988755741</v>
      </c>
      <c r="D12" s="164">
        <v>2737</v>
      </c>
      <c r="E12" s="165">
        <v>53.2</v>
      </c>
    </row>
    <row r="13" spans="1:5">
      <c r="A13" s="160" t="s">
        <v>110</v>
      </c>
      <c r="B13" s="161">
        <v>22564.105462120722</v>
      </c>
      <c r="C13" s="164">
        <v>13635.992211178949</v>
      </c>
      <c r="D13" s="164">
        <v>4874</v>
      </c>
      <c r="E13" s="165">
        <v>51.9</v>
      </c>
    </row>
    <row r="14" spans="1:5">
      <c r="A14" s="160" t="s">
        <v>111</v>
      </c>
      <c r="B14" s="161">
        <v>22605.589709601161</v>
      </c>
      <c r="C14" s="164">
        <v>14098.095206426311</v>
      </c>
      <c r="D14" s="164">
        <v>4689</v>
      </c>
      <c r="E14" s="165">
        <v>47.13</v>
      </c>
    </row>
    <row r="15" spans="1:5">
      <c r="A15" s="160" t="s">
        <v>112</v>
      </c>
      <c r="B15" s="161">
        <v>21950.038931182247</v>
      </c>
      <c r="C15" s="164">
        <v>13828.968419179677</v>
      </c>
      <c r="D15" s="164">
        <v>5077.57</v>
      </c>
      <c r="E15" s="165">
        <v>38.229999999999997</v>
      </c>
    </row>
    <row r="16" spans="1:5">
      <c r="A16" s="160" t="s">
        <v>113</v>
      </c>
      <c r="B16" s="161">
        <v>22828.092465326805</v>
      </c>
      <c r="C16" s="164">
        <v>13920.131077093276</v>
      </c>
      <c r="D16" s="164">
        <v>5038.7700000000004</v>
      </c>
      <c r="E16" s="165">
        <v>31.6</v>
      </c>
    </row>
    <row r="17" spans="1:5">
      <c r="A17" s="160" t="s">
        <v>114</v>
      </c>
      <c r="B17" s="161">
        <v>24091.602320751408</v>
      </c>
      <c r="C17" s="164">
        <v>14492.247412149667</v>
      </c>
      <c r="D17" s="164">
        <v>5670</v>
      </c>
      <c r="E17" s="165">
        <v>29.86</v>
      </c>
    </row>
    <row r="18" spans="1:5">
      <c r="A18" s="160" t="s">
        <v>115</v>
      </c>
      <c r="B18" s="161">
        <v>24128.933269060301</v>
      </c>
      <c r="C18" s="164">
        <v>13662.016352975796</v>
      </c>
      <c r="D18" s="164">
        <v>6200.3</v>
      </c>
      <c r="E18" s="165">
        <v>32.475000000000001</v>
      </c>
    </row>
    <row r="19" spans="1:5">
      <c r="A19" s="160" t="s">
        <v>116</v>
      </c>
      <c r="B19" s="161">
        <v>25818.682172426754</v>
      </c>
      <c r="C19" s="164">
        <v>14046.500607507569</v>
      </c>
      <c r="D19" s="164">
        <v>7333.71</v>
      </c>
      <c r="E19" s="165">
        <v>30.04</v>
      </c>
    </row>
    <row r="20" spans="1:5">
      <c r="A20" s="160" t="s">
        <v>117</v>
      </c>
      <c r="B20" s="161">
        <v>26589.894973010902</v>
      </c>
      <c r="C20" s="164">
        <v>14210.857005018133</v>
      </c>
      <c r="D20" s="164">
        <v>8663.2999999999993</v>
      </c>
      <c r="E20" s="165">
        <v>28.2575</v>
      </c>
    </row>
    <row r="21" spans="1:5">
      <c r="A21" s="160" t="s">
        <v>34</v>
      </c>
      <c r="B21" s="161">
        <v>27006.327773841283</v>
      </c>
      <c r="C21" s="164">
        <v>13659.14198267788</v>
      </c>
      <c r="D21" s="164">
        <v>8657.82</v>
      </c>
      <c r="E21" s="165">
        <v>29.65</v>
      </c>
    </row>
    <row r="22" spans="1:5">
      <c r="A22" s="160" t="s">
        <v>37</v>
      </c>
      <c r="B22" s="161">
        <v>27177.306294251994</v>
      </c>
      <c r="C22" s="164">
        <v>14472.574507567337</v>
      </c>
      <c r="D22" s="164">
        <v>8850</v>
      </c>
      <c r="E22" s="165">
        <v>56.87</v>
      </c>
    </row>
    <row r="23" spans="1:5">
      <c r="A23" s="160" t="s">
        <v>169</v>
      </c>
      <c r="B23" s="161">
        <v>28786.233</v>
      </c>
      <c r="C23" s="176">
        <v>14385</v>
      </c>
      <c r="D23" s="176">
        <v>10700</v>
      </c>
      <c r="E23" s="177">
        <v>68</v>
      </c>
    </row>
    <row r="24" spans="1:5" ht="16.2">
      <c r="A24" s="58"/>
      <c r="B24" s="157"/>
      <c r="C24" s="159"/>
    </row>
    <row r="25" spans="1:5">
      <c r="B25" s="157"/>
    </row>
    <row r="26" spans="1:5">
      <c r="B26" s="157"/>
    </row>
    <row r="27" spans="1:5">
      <c r="B27" s="157"/>
    </row>
    <row r="28" spans="1:5">
      <c r="B28" s="157"/>
    </row>
    <row r="29" spans="1:5">
      <c r="B29" s="157"/>
    </row>
    <row r="30" spans="1:5">
      <c r="B30" s="157"/>
    </row>
    <row r="31" spans="1:5">
      <c r="B31" s="157"/>
    </row>
    <row r="32" spans="1:5">
      <c r="B32" s="157"/>
    </row>
    <row r="33" spans="2:2">
      <c r="B33" s="157"/>
    </row>
    <row r="34" spans="2:2">
      <c r="B34" s="157"/>
    </row>
    <row r="35" spans="2:2">
      <c r="B35" s="157"/>
    </row>
    <row r="36" spans="2:2">
      <c r="B36" s="157"/>
    </row>
    <row r="37" spans="2:2">
      <c r="B37" s="157"/>
    </row>
    <row r="38" spans="2:2">
      <c r="B38" s="157"/>
    </row>
    <row r="39" spans="2:2">
      <c r="B39" s="157"/>
    </row>
    <row r="40" spans="2:2">
      <c r="B40" s="157"/>
    </row>
    <row r="41" spans="2:2">
      <c r="B41" s="157"/>
    </row>
    <row r="42" spans="2:2">
      <c r="B42" s="157"/>
    </row>
    <row r="43" spans="2:2">
      <c r="B43" s="15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DD12-1358-4FCC-913B-9270F0A5FE74}">
  <dimension ref="A1:E50"/>
  <sheetViews>
    <sheetView zoomScale="90" zoomScaleNormal="90" workbookViewId="0">
      <pane xSplit="1" ySplit="1" topLeftCell="B10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/>
  <cols>
    <col min="1" max="1" width="15.6640625" style="127" bestFit="1" customWidth="1"/>
    <col min="2" max="2" width="10" style="127" customWidth="1"/>
    <col min="3" max="3" width="11.6640625" style="127" customWidth="1"/>
    <col min="4" max="4" width="16.44140625" style="127" customWidth="1"/>
    <col min="5" max="5" width="10.6640625" style="127" customWidth="1"/>
    <col min="6" max="16384" width="8.88671875" style="127"/>
  </cols>
  <sheetData>
    <row r="1" spans="1:5" ht="26.4">
      <c r="A1" s="126" t="s">
        <v>248</v>
      </c>
      <c r="B1" s="126" t="s">
        <v>245</v>
      </c>
      <c r="C1" s="126" t="s">
        <v>246</v>
      </c>
      <c r="D1" s="126" t="s">
        <v>249</v>
      </c>
      <c r="E1" s="126" t="s">
        <v>247</v>
      </c>
    </row>
    <row r="2" spans="1:5">
      <c r="A2" s="167" t="s">
        <v>227</v>
      </c>
      <c r="B2" s="129">
        <v>770.63636363636363</v>
      </c>
      <c r="C2" s="129">
        <v>821.13636363636363</v>
      </c>
      <c r="D2" s="129">
        <v>951.81818181818187</v>
      </c>
      <c r="E2" s="170">
        <v>916</v>
      </c>
    </row>
    <row r="3" spans="1:5">
      <c r="A3" s="167" t="s">
        <v>228</v>
      </c>
      <c r="B3" s="129">
        <v>867</v>
      </c>
      <c r="C3" s="129">
        <v>943.61904761904759</v>
      </c>
      <c r="D3" s="129">
        <v>1053.5714285714287</v>
      </c>
      <c r="E3" s="170">
        <v>1084</v>
      </c>
    </row>
    <row r="4" spans="1:5">
      <c r="A4" s="167" t="s">
        <v>229</v>
      </c>
      <c r="B4" s="129">
        <v>934.82608695652175</v>
      </c>
      <c r="C4" s="129">
        <v>1021.0434782608696</v>
      </c>
      <c r="D4" s="129">
        <v>1130.2173913043478</v>
      </c>
      <c r="E4" s="170">
        <v>1108</v>
      </c>
    </row>
    <row r="5" spans="1:5">
      <c r="A5" s="167" t="s">
        <v>230</v>
      </c>
      <c r="B5" s="129">
        <v>990.09523809523807</v>
      </c>
      <c r="C5" s="129">
        <v>1057.3333333333333</v>
      </c>
      <c r="D5" s="129">
        <v>1234.8571428571429</v>
      </c>
      <c r="E5" s="170">
        <v>1206</v>
      </c>
    </row>
    <row r="6" spans="1:5">
      <c r="A6" s="167" t="s">
        <v>231</v>
      </c>
      <c r="B6" s="129">
        <v>1019.85</v>
      </c>
      <c r="C6" s="129">
        <v>1077.8499999999999</v>
      </c>
      <c r="D6" s="129">
        <v>1290.5</v>
      </c>
      <c r="E6" s="170">
        <v>1314</v>
      </c>
    </row>
    <row r="7" spans="1:5">
      <c r="A7" s="167" t="s">
        <v>232</v>
      </c>
      <c r="B7" s="170">
        <v>1039.8695652173913</v>
      </c>
      <c r="C7" s="168">
        <v>1209.608695652174</v>
      </c>
      <c r="D7" s="168">
        <v>1542.1739130434783</v>
      </c>
      <c r="E7" s="170">
        <v>1398</v>
      </c>
    </row>
    <row r="8" spans="1:5">
      <c r="A8" s="167" t="s">
        <v>233</v>
      </c>
      <c r="B8" s="128">
        <v>1083.6818181818182</v>
      </c>
      <c r="C8" s="168">
        <v>1239.9545454545455</v>
      </c>
      <c r="D8" s="168">
        <v>1511.0869565217392</v>
      </c>
      <c r="E8" s="170">
        <v>1462</v>
      </c>
    </row>
    <row r="9" spans="1:5">
      <c r="A9" s="167" t="s">
        <v>234</v>
      </c>
      <c r="B9" s="128">
        <v>1165.9047619047619</v>
      </c>
      <c r="C9" s="168">
        <v>1348.9047619047619</v>
      </c>
      <c r="D9" s="168">
        <v>1502.8571428571429</v>
      </c>
      <c r="E9" s="170">
        <v>1667</v>
      </c>
    </row>
    <row r="10" spans="1:5">
      <c r="A10" s="167" t="s">
        <v>235</v>
      </c>
      <c r="B10" s="128">
        <v>1011.9090909090909</v>
      </c>
      <c r="C10" s="168">
        <v>1190.8636363636363</v>
      </c>
      <c r="D10" s="168">
        <v>1295.6818181818182</v>
      </c>
      <c r="E10" s="170">
        <v>1520</v>
      </c>
    </row>
    <row r="11" spans="1:5">
      <c r="A11" s="167" t="s">
        <v>236</v>
      </c>
      <c r="B11" s="128">
        <v>1079.4545454545455</v>
      </c>
      <c r="C11" s="168">
        <v>1244.3181818181818</v>
      </c>
      <c r="D11" s="168">
        <v>1271.1363636363637</v>
      </c>
      <c r="E11" s="170">
        <v>1480</v>
      </c>
    </row>
    <row r="12" spans="1:5">
      <c r="A12" s="167" t="s">
        <v>237</v>
      </c>
      <c r="B12" s="128">
        <v>1152.7272727272727</v>
      </c>
      <c r="C12" s="168">
        <v>1301.3636363636363</v>
      </c>
      <c r="D12" s="168">
        <v>1312.5</v>
      </c>
      <c r="E12" s="170">
        <v>1353</v>
      </c>
    </row>
    <row r="13" spans="1:5">
      <c r="A13" s="167" t="s">
        <v>238</v>
      </c>
      <c r="B13" s="168">
        <v>1180.3181818181818</v>
      </c>
      <c r="C13" s="168">
        <v>1306.5</v>
      </c>
      <c r="D13" s="168">
        <v>1326.8181818181818</v>
      </c>
      <c r="E13" s="170">
        <v>1400</v>
      </c>
    </row>
    <row r="14" spans="1:5">
      <c r="A14" s="167" t="s">
        <v>239</v>
      </c>
      <c r="B14" s="168">
        <v>1315.7142857142858</v>
      </c>
      <c r="C14" s="168">
        <v>1397.3809523809523</v>
      </c>
      <c r="D14" s="168">
        <v>1380.952380952381</v>
      </c>
      <c r="E14" s="170">
        <v>1617</v>
      </c>
    </row>
    <row r="15" spans="1:5">
      <c r="A15" s="167" t="s">
        <v>240</v>
      </c>
      <c r="B15" s="168">
        <v>1352.1818181818182</v>
      </c>
      <c r="C15" s="168">
        <v>1391.7272727272727</v>
      </c>
      <c r="D15" s="168">
        <v>1403.6363636363637</v>
      </c>
      <c r="E15" s="170">
        <v>1698</v>
      </c>
    </row>
    <row r="16" spans="1:5">
      <c r="A16" s="167" t="s">
        <v>241</v>
      </c>
      <c r="B16" s="168">
        <v>1273.0869565217392</v>
      </c>
      <c r="C16" s="168">
        <v>1351</v>
      </c>
      <c r="D16" s="168">
        <v>1378.4782608695652</v>
      </c>
      <c r="E16" s="170">
        <v>1652</v>
      </c>
    </row>
    <row r="17" spans="1:5">
      <c r="A17" s="167" t="s">
        <v>242</v>
      </c>
      <c r="B17" s="168">
        <v>1353.2380952380952</v>
      </c>
      <c r="C17" s="168">
        <v>1372.4285714285713</v>
      </c>
      <c r="D17" s="168">
        <v>1358.5714285714287</v>
      </c>
      <c r="E17" s="170">
        <v>1744</v>
      </c>
    </row>
    <row r="18" spans="1:5">
      <c r="A18" s="167" t="s">
        <v>243</v>
      </c>
      <c r="B18" s="168">
        <v>1541.4</v>
      </c>
      <c r="C18" s="168">
        <v>1531.9</v>
      </c>
      <c r="D18" s="168">
        <v>1455.25</v>
      </c>
      <c r="E18" s="170">
        <v>1742</v>
      </c>
    </row>
    <row r="19" spans="1:5">
      <c r="A19" s="167" t="s">
        <v>244</v>
      </c>
      <c r="B19" s="129">
        <v>1862.5</v>
      </c>
      <c r="C19" s="129">
        <v>1836.16</v>
      </c>
      <c r="D19" s="129">
        <v>2045.8333333333333</v>
      </c>
      <c r="E19" s="170">
        <v>1844.79</v>
      </c>
    </row>
    <row r="20" spans="1:5">
      <c r="A20" s="169"/>
      <c r="B20" s="129"/>
    </row>
    <row r="21" spans="1:5">
      <c r="A21" s="169"/>
      <c r="B21" s="178"/>
      <c r="C21" s="129"/>
      <c r="D21" s="129"/>
      <c r="E21" s="129"/>
    </row>
    <row r="22" spans="1:5">
      <c r="A22" s="169"/>
      <c r="B22" s="171"/>
      <c r="C22" s="171"/>
      <c r="D22" s="171"/>
      <c r="E22" s="171"/>
    </row>
    <row r="23" spans="1:5">
      <c r="A23" s="166"/>
      <c r="B23" s="129"/>
    </row>
    <row r="24" spans="1:5">
      <c r="A24" s="166"/>
      <c r="B24" s="129"/>
    </row>
    <row r="25" spans="1:5">
      <c r="A25" s="166"/>
      <c r="B25" s="129"/>
    </row>
    <row r="26" spans="1:5">
      <c r="A26" s="166"/>
      <c r="B26" s="129"/>
    </row>
    <row r="27" spans="1:5">
      <c r="A27" s="166"/>
      <c r="B27" s="129"/>
    </row>
    <row r="28" spans="1:5">
      <c r="A28" s="166"/>
      <c r="B28" s="129"/>
    </row>
    <row r="29" spans="1:5">
      <c r="A29" s="166"/>
      <c r="B29" s="129"/>
    </row>
    <row r="30" spans="1:5">
      <c r="A30" s="166"/>
      <c r="B30" s="129"/>
    </row>
    <row r="31" spans="1:5">
      <c r="A31" s="166"/>
      <c r="B31" s="129"/>
    </row>
    <row r="32" spans="1:5">
      <c r="B32" s="129"/>
    </row>
    <row r="33" spans="1:4">
      <c r="B33" s="129"/>
    </row>
    <row r="34" spans="1:4">
      <c r="B34" s="129"/>
    </row>
    <row r="35" spans="1:4">
      <c r="B35" s="129"/>
    </row>
    <row r="36" spans="1:4">
      <c r="B36" s="129"/>
    </row>
    <row r="37" spans="1:4">
      <c r="B37" s="129"/>
    </row>
    <row r="38" spans="1:4">
      <c r="B38" s="129"/>
    </row>
    <row r="39" spans="1:4">
      <c r="B39" s="129"/>
    </row>
    <row r="40" spans="1:4">
      <c r="B40" s="129"/>
    </row>
    <row r="41" spans="1:4">
      <c r="B41" s="129"/>
    </row>
    <row r="42" spans="1:4">
      <c r="B42" s="129"/>
    </row>
    <row r="43" spans="1:4">
      <c r="A43" s="166"/>
      <c r="B43" s="129"/>
    </row>
    <row r="44" spans="1:4">
      <c r="A44" s="166"/>
    </row>
    <row r="45" spans="1:4">
      <c r="A45" s="166"/>
    </row>
    <row r="46" spans="1:4">
      <c r="A46" s="166"/>
    </row>
    <row r="47" spans="1:4">
      <c r="B47" s="168"/>
      <c r="C47" s="168"/>
      <c r="D47" s="168"/>
    </row>
    <row r="50" spans="2:4">
      <c r="B50" s="168"/>
      <c r="C50" s="168"/>
      <c r="D50" s="16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B850-162C-41E2-816C-450C4A710684}">
  <sheetPr codeName="Sheet14"/>
  <dimension ref="A1:F84"/>
  <sheetViews>
    <sheetView zoomScale="90" zoomScaleNormal="90" workbookViewId="0"/>
  </sheetViews>
  <sheetFormatPr defaultColWidth="9.109375" defaultRowHeight="13.2"/>
  <cols>
    <col min="1" max="1" width="13.44140625" style="152" bestFit="1" customWidth="1"/>
    <col min="2" max="2" width="8.5546875" style="135" bestFit="1" customWidth="1"/>
    <col min="3" max="3" width="9" style="135" bestFit="1" customWidth="1"/>
    <col min="4" max="4" width="10.33203125" style="135" bestFit="1" customWidth="1"/>
    <col min="5" max="5" width="14.5546875" style="135" customWidth="1"/>
    <col min="6" max="6" width="8.44140625" style="135" bestFit="1" customWidth="1"/>
    <col min="7" max="16384" width="9.109375" style="135"/>
  </cols>
  <sheetData>
    <row r="1" spans="1:6" ht="26.4">
      <c r="A1" s="150" t="s">
        <v>255</v>
      </c>
      <c r="B1" s="126" t="s">
        <v>223</v>
      </c>
      <c r="C1" s="126" t="s">
        <v>224</v>
      </c>
      <c r="D1" s="126" t="s">
        <v>226</v>
      </c>
      <c r="E1" s="126" t="s">
        <v>225</v>
      </c>
      <c r="F1" s="126" t="s">
        <v>28</v>
      </c>
    </row>
    <row r="2" spans="1:6">
      <c r="A2" s="145" t="s">
        <v>150</v>
      </c>
      <c r="B2" s="161">
        <v>10167</v>
      </c>
      <c r="C2" s="161">
        <v>4095</v>
      </c>
      <c r="D2" s="161">
        <v>4217</v>
      </c>
      <c r="E2" s="161">
        <v>2511</v>
      </c>
      <c r="F2" s="161">
        <f t="shared" ref="F2:F7" si="0">SUM(B2:E2)</f>
        <v>20990</v>
      </c>
    </row>
    <row r="3" spans="1:6">
      <c r="A3" s="145" t="s">
        <v>151</v>
      </c>
      <c r="B3" s="161">
        <v>12520</v>
      </c>
      <c r="C3" s="161">
        <v>4184</v>
      </c>
      <c r="D3" s="161">
        <v>3371</v>
      </c>
      <c r="E3" s="161">
        <v>2453</v>
      </c>
      <c r="F3" s="161">
        <f t="shared" si="0"/>
        <v>22528</v>
      </c>
    </row>
    <row r="4" spans="1:6">
      <c r="A4" s="145" t="s">
        <v>152</v>
      </c>
      <c r="B4" s="161">
        <v>13938</v>
      </c>
      <c r="C4" s="161">
        <v>4633</v>
      </c>
      <c r="D4" s="161">
        <v>2861</v>
      </c>
      <c r="E4" s="161">
        <v>2087</v>
      </c>
      <c r="F4" s="161">
        <f t="shared" si="0"/>
        <v>23519</v>
      </c>
    </row>
    <row r="5" spans="1:6">
      <c r="A5" s="145" t="s">
        <v>153</v>
      </c>
      <c r="B5" s="161">
        <v>14290</v>
      </c>
      <c r="C5" s="161">
        <v>5180</v>
      </c>
      <c r="D5" s="161">
        <v>2736</v>
      </c>
      <c r="E5" s="161">
        <v>2559</v>
      </c>
      <c r="F5" s="161">
        <f t="shared" si="0"/>
        <v>24765</v>
      </c>
    </row>
    <row r="6" spans="1:6">
      <c r="A6" s="145" t="s">
        <v>154</v>
      </c>
      <c r="B6" s="161">
        <v>13530</v>
      </c>
      <c r="C6" s="161">
        <v>4860</v>
      </c>
      <c r="D6" s="161">
        <v>3329</v>
      </c>
      <c r="E6" s="161">
        <v>1739</v>
      </c>
      <c r="F6" s="161">
        <f t="shared" si="0"/>
        <v>23458</v>
      </c>
    </row>
    <row r="7" spans="1:6">
      <c r="A7" s="145" t="s">
        <v>169</v>
      </c>
      <c r="B7" s="161">
        <v>13559</v>
      </c>
      <c r="C7" s="161">
        <v>3982</v>
      </c>
      <c r="D7" s="161">
        <v>2530</v>
      </c>
      <c r="E7" s="161">
        <v>1866</v>
      </c>
      <c r="F7" s="161">
        <f t="shared" si="0"/>
        <v>21937</v>
      </c>
    </row>
    <row r="8" spans="1:6">
      <c r="B8" s="151"/>
      <c r="D8" s="151"/>
    </row>
    <row r="9" spans="1:6">
      <c r="B9" s="151"/>
      <c r="D9" s="151"/>
    </row>
    <row r="10" spans="1:6">
      <c r="B10" s="151"/>
      <c r="D10" s="151"/>
    </row>
    <row r="11" spans="1:6">
      <c r="B11" s="136"/>
      <c r="D11" s="136"/>
    </row>
    <row r="12" spans="1:6">
      <c r="B12" s="136"/>
      <c r="D12" s="136"/>
    </row>
    <row r="13" spans="1:6">
      <c r="B13" s="136"/>
      <c r="D13" s="136"/>
    </row>
    <row r="14" spans="1:6">
      <c r="B14" s="136"/>
      <c r="D14" s="136"/>
    </row>
    <row r="15" spans="1:6">
      <c r="B15" s="136"/>
      <c r="D15" s="136"/>
    </row>
    <row r="16" spans="1:6">
      <c r="B16" s="136"/>
      <c r="D16" s="136"/>
    </row>
    <row r="17" spans="2:4">
      <c r="B17" s="136"/>
      <c r="D17" s="136"/>
    </row>
    <row r="18" spans="2:4">
      <c r="B18" s="136"/>
      <c r="D18" s="136"/>
    </row>
    <row r="19" spans="2:4">
      <c r="B19" s="136"/>
      <c r="D19" s="136"/>
    </row>
    <row r="20" spans="2:4">
      <c r="B20" s="136"/>
      <c r="D20" s="136"/>
    </row>
    <row r="21" spans="2:4">
      <c r="B21" s="136"/>
      <c r="D21" s="136"/>
    </row>
    <row r="22" spans="2:4">
      <c r="B22" s="136"/>
      <c r="D22" s="136"/>
    </row>
    <row r="23" spans="2:4">
      <c r="B23" s="136"/>
      <c r="D23" s="136"/>
    </row>
    <row r="24" spans="2:4">
      <c r="B24" s="136"/>
      <c r="D24" s="136"/>
    </row>
    <row r="25" spans="2:4">
      <c r="B25" s="136"/>
      <c r="D25" s="136"/>
    </row>
    <row r="26" spans="2:4">
      <c r="B26" s="136"/>
      <c r="D26" s="136"/>
    </row>
    <row r="27" spans="2:4">
      <c r="B27" s="136"/>
      <c r="D27" s="136"/>
    </row>
    <row r="28" spans="2:4">
      <c r="B28" s="136"/>
      <c r="D28" s="136"/>
    </row>
    <row r="29" spans="2:4">
      <c r="B29" s="136"/>
      <c r="D29" s="136"/>
    </row>
    <row r="30" spans="2:4">
      <c r="B30" s="136"/>
      <c r="D30" s="136"/>
    </row>
    <row r="31" spans="2:4">
      <c r="B31" s="136"/>
      <c r="D31" s="136"/>
    </row>
    <row r="32" spans="2:4">
      <c r="B32" s="136"/>
      <c r="D32" s="136"/>
    </row>
    <row r="33" spans="2:4">
      <c r="B33" s="136"/>
      <c r="D33" s="136"/>
    </row>
    <row r="34" spans="2:4">
      <c r="B34" s="136"/>
      <c r="D34" s="136"/>
    </row>
    <row r="35" spans="2:4">
      <c r="B35" s="136"/>
      <c r="D35" s="136"/>
    </row>
    <row r="36" spans="2:4">
      <c r="B36" s="136"/>
      <c r="D36" s="136"/>
    </row>
    <row r="37" spans="2:4">
      <c r="B37" s="136"/>
      <c r="D37" s="136"/>
    </row>
    <row r="38" spans="2:4">
      <c r="B38" s="136"/>
      <c r="D38" s="136"/>
    </row>
    <row r="39" spans="2:4">
      <c r="B39" s="136"/>
      <c r="D39" s="136"/>
    </row>
    <row r="40" spans="2:4">
      <c r="B40" s="136"/>
      <c r="D40" s="136"/>
    </row>
    <row r="41" spans="2:4">
      <c r="B41" s="136"/>
      <c r="D41" s="136"/>
    </row>
    <row r="42" spans="2:4">
      <c r="B42" s="136"/>
      <c r="D42" s="136"/>
    </row>
    <row r="43" spans="2:4">
      <c r="B43" s="136"/>
      <c r="D43" s="136"/>
    </row>
    <row r="44" spans="2:4">
      <c r="B44" s="136"/>
      <c r="D44" s="136"/>
    </row>
    <row r="45" spans="2:4">
      <c r="B45" s="136"/>
      <c r="D45" s="136"/>
    </row>
    <row r="46" spans="2:4">
      <c r="B46" s="136"/>
      <c r="D46" s="136"/>
    </row>
    <row r="47" spans="2:4">
      <c r="B47" s="136"/>
      <c r="D47" s="136"/>
    </row>
    <row r="48" spans="2:4">
      <c r="B48" s="136"/>
      <c r="D48" s="136"/>
    </row>
    <row r="49" spans="2:4">
      <c r="B49" s="136"/>
      <c r="D49" s="136"/>
    </row>
    <row r="50" spans="2:4">
      <c r="B50" s="136"/>
      <c r="D50" s="136"/>
    </row>
    <row r="51" spans="2:4">
      <c r="B51" s="136"/>
      <c r="D51" s="136"/>
    </row>
    <row r="52" spans="2:4">
      <c r="B52" s="136"/>
      <c r="D52" s="136"/>
    </row>
    <row r="53" spans="2:4">
      <c r="B53" s="136"/>
      <c r="D53" s="136"/>
    </row>
    <row r="54" spans="2:4">
      <c r="B54" s="136"/>
      <c r="D54" s="136"/>
    </row>
    <row r="55" spans="2:4">
      <c r="B55" s="136"/>
      <c r="D55" s="136"/>
    </row>
    <row r="56" spans="2:4">
      <c r="B56" s="136"/>
      <c r="D56" s="136"/>
    </row>
    <row r="57" spans="2:4">
      <c r="B57" s="136"/>
      <c r="D57" s="136"/>
    </row>
    <row r="58" spans="2:4">
      <c r="B58" s="136"/>
      <c r="D58" s="136"/>
    </row>
    <row r="59" spans="2:4">
      <c r="B59" s="136"/>
      <c r="D59" s="136"/>
    </row>
    <row r="60" spans="2:4">
      <c r="B60" s="136"/>
      <c r="D60" s="136"/>
    </row>
    <row r="61" spans="2:4">
      <c r="B61" s="136"/>
      <c r="D61" s="136"/>
    </row>
    <row r="62" spans="2:4">
      <c r="B62" s="136"/>
      <c r="D62" s="136"/>
    </row>
    <row r="63" spans="2:4">
      <c r="B63" s="136"/>
      <c r="D63" s="136"/>
    </row>
    <row r="64" spans="2:4">
      <c r="B64" s="136"/>
      <c r="D64" s="136"/>
    </row>
    <row r="65" spans="2:4">
      <c r="B65" s="136"/>
      <c r="D65" s="136"/>
    </row>
    <row r="66" spans="2:4">
      <c r="B66" s="136"/>
      <c r="D66" s="136"/>
    </row>
    <row r="67" spans="2:4">
      <c r="B67" s="136"/>
      <c r="D67" s="136"/>
    </row>
    <row r="68" spans="2:4">
      <c r="B68" s="136"/>
      <c r="D68" s="136"/>
    </row>
    <row r="69" spans="2:4">
      <c r="B69" s="136"/>
      <c r="D69" s="136"/>
    </row>
    <row r="70" spans="2:4">
      <c r="B70" s="136"/>
      <c r="D70" s="136"/>
    </row>
    <row r="71" spans="2:4">
      <c r="B71" s="136"/>
      <c r="D71" s="136"/>
    </row>
    <row r="72" spans="2:4">
      <c r="B72" s="136"/>
      <c r="D72" s="136"/>
    </row>
    <row r="73" spans="2:4">
      <c r="B73" s="136"/>
      <c r="D73" s="136"/>
    </row>
    <row r="74" spans="2:4">
      <c r="B74" s="136"/>
      <c r="D74" s="136"/>
    </row>
    <row r="75" spans="2:4">
      <c r="B75" s="136"/>
      <c r="D75" s="136"/>
    </row>
    <row r="76" spans="2:4">
      <c r="B76" s="136"/>
      <c r="D76" s="136"/>
    </row>
    <row r="77" spans="2:4">
      <c r="B77" s="136"/>
      <c r="D77" s="136"/>
    </row>
    <row r="78" spans="2:4">
      <c r="B78" s="136"/>
      <c r="D78" s="136"/>
    </row>
    <row r="79" spans="2:4">
      <c r="B79" s="136"/>
      <c r="D79" s="136"/>
    </row>
    <row r="80" spans="2:4">
      <c r="B80" s="136"/>
      <c r="D80" s="136"/>
    </row>
    <row r="81" spans="2:4">
      <c r="B81" s="136"/>
      <c r="D81" s="136"/>
    </row>
    <row r="82" spans="2:4">
      <c r="B82" s="136"/>
      <c r="D82" s="136"/>
    </row>
    <row r="83" spans="2:4">
      <c r="B83" s="136"/>
      <c r="D83" s="136"/>
    </row>
    <row r="84" spans="2:4">
      <c r="B84" s="136"/>
      <c r="D84" s="13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0C2E-D5D7-423E-8A2C-B8CE2FAFD3AB}">
  <sheetPr codeName="Sheet13"/>
  <dimension ref="A1:D93"/>
  <sheetViews>
    <sheetView zoomScale="90" zoomScaleNormal="90" workbookViewId="0"/>
  </sheetViews>
  <sheetFormatPr defaultColWidth="9.109375" defaultRowHeight="13.2"/>
  <cols>
    <col min="1" max="1" width="15.44140625" bestFit="1" customWidth="1"/>
    <col min="2" max="2" width="12.33203125" customWidth="1"/>
    <col min="3" max="3" width="8.6640625" bestFit="1" customWidth="1"/>
    <col min="4" max="4" width="9.6640625" bestFit="1" customWidth="1"/>
  </cols>
  <sheetData>
    <row r="1" spans="1:4" ht="39.6">
      <c r="A1" s="148" t="s">
        <v>149</v>
      </c>
      <c r="B1" s="144" t="s">
        <v>15</v>
      </c>
      <c r="C1" s="144" t="s">
        <v>30</v>
      </c>
      <c r="D1" s="148" t="s">
        <v>250</v>
      </c>
    </row>
    <row r="2" spans="1:4">
      <c r="A2" s="147" t="s">
        <v>109</v>
      </c>
      <c r="B2" s="161">
        <v>3480</v>
      </c>
      <c r="C2" s="161">
        <v>2652</v>
      </c>
      <c r="D2" s="161">
        <v>530</v>
      </c>
    </row>
    <row r="3" spans="1:4">
      <c r="A3" s="141" t="s">
        <v>110</v>
      </c>
      <c r="B3" s="161">
        <v>4275</v>
      </c>
      <c r="C3" s="161">
        <v>3263</v>
      </c>
      <c r="D3" s="161">
        <v>550</v>
      </c>
    </row>
    <row r="4" spans="1:4">
      <c r="A4" s="134" t="s">
        <v>111</v>
      </c>
      <c r="B4" s="161">
        <v>4101</v>
      </c>
      <c r="C4" s="161">
        <v>3245</v>
      </c>
      <c r="D4" s="161">
        <v>550</v>
      </c>
    </row>
    <row r="5" spans="1:4">
      <c r="A5" s="134" t="s">
        <v>112</v>
      </c>
      <c r="B5" s="161">
        <v>5066</v>
      </c>
      <c r="C5" s="161">
        <v>4181</v>
      </c>
      <c r="D5" s="161">
        <v>550</v>
      </c>
    </row>
    <row r="6" spans="1:4">
      <c r="A6" s="134" t="s">
        <v>113</v>
      </c>
      <c r="B6" s="161">
        <v>4766</v>
      </c>
      <c r="C6" s="161">
        <v>3872</v>
      </c>
      <c r="D6" s="161">
        <v>550</v>
      </c>
    </row>
    <row r="7" spans="1:4">
      <c r="A7" s="134" t="s">
        <v>114</v>
      </c>
      <c r="B7" s="161">
        <v>5355</v>
      </c>
      <c r="C7" s="161">
        <v>4500</v>
      </c>
      <c r="D7" s="161">
        <v>550</v>
      </c>
    </row>
    <row r="8" spans="1:4">
      <c r="A8" s="134" t="s">
        <v>115</v>
      </c>
      <c r="B8" s="161">
        <v>6656</v>
      </c>
      <c r="C8" s="161">
        <v>5851</v>
      </c>
      <c r="D8" s="161">
        <v>550</v>
      </c>
    </row>
    <row r="9" spans="1:4">
      <c r="A9" s="145" t="s">
        <v>116</v>
      </c>
      <c r="B9" s="161">
        <v>6169</v>
      </c>
      <c r="C9" s="161">
        <v>5342</v>
      </c>
      <c r="D9" s="161">
        <v>548</v>
      </c>
    </row>
    <row r="10" spans="1:4">
      <c r="A10" s="134" t="s">
        <v>117</v>
      </c>
      <c r="B10" s="161">
        <v>6643</v>
      </c>
      <c r="C10" s="161">
        <v>6063</v>
      </c>
      <c r="D10" s="161">
        <v>545</v>
      </c>
    </row>
    <row r="11" spans="1:4">
      <c r="A11" s="143" t="s">
        <v>34</v>
      </c>
      <c r="B11" s="161">
        <v>7425</v>
      </c>
      <c r="C11" s="161">
        <v>6686</v>
      </c>
      <c r="D11" s="161">
        <v>550</v>
      </c>
    </row>
    <row r="12" spans="1:4">
      <c r="A12" s="143" t="s">
        <v>37</v>
      </c>
      <c r="B12" s="161">
        <v>6102</v>
      </c>
      <c r="C12" s="161">
        <v>5273</v>
      </c>
      <c r="D12" s="161">
        <v>560</v>
      </c>
    </row>
    <row r="13" spans="1:4">
      <c r="A13" s="145" t="s">
        <v>252</v>
      </c>
      <c r="B13" s="161">
        <v>7558</v>
      </c>
      <c r="C13" s="161">
        <v>6650</v>
      </c>
      <c r="D13" s="161">
        <v>530</v>
      </c>
    </row>
    <row r="14" spans="1:4">
      <c r="A14" s="145" t="s">
        <v>253</v>
      </c>
      <c r="B14" s="161">
        <v>6719</v>
      </c>
      <c r="C14" s="161">
        <v>5750</v>
      </c>
      <c r="D14" s="161">
        <v>620</v>
      </c>
    </row>
    <row r="15" spans="1:4">
      <c r="A15" s="143"/>
      <c r="B15" s="149"/>
      <c r="C15" s="149"/>
      <c r="D15" s="149"/>
    </row>
    <row r="16" spans="1:4">
      <c r="A16" s="143"/>
      <c r="B16" s="149"/>
      <c r="C16" s="149"/>
      <c r="D16" s="149"/>
    </row>
    <row r="17" spans="1:4">
      <c r="A17" s="143"/>
      <c r="B17" s="149"/>
      <c r="C17" s="149"/>
      <c r="D17" s="149"/>
    </row>
    <row r="18" spans="1:4">
      <c r="A18" s="134"/>
      <c r="B18" s="149"/>
      <c r="C18" s="149"/>
      <c r="D18" s="149"/>
    </row>
    <row r="19" spans="1:4">
      <c r="A19" s="134"/>
      <c r="B19" s="149"/>
      <c r="C19" s="149"/>
      <c r="D19" s="149"/>
    </row>
    <row r="20" spans="1:4">
      <c r="A20" s="134"/>
      <c r="B20" s="134"/>
      <c r="C20" s="134"/>
      <c r="D20" s="134"/>
    </row>
    <row r="21" spans="1:4">
      <c r="A21" s="134"/>
      <c r="B21" s="134"/>
      <c r="C21" s="134"/>
      <c r="D21" s="134"/>
    </row>
    <row r="22" spans="1:4">
      <c r="A22" s="134"/>
      <c r="B22" s="134"/>
      <c r="C22" s="134"/>
      <c r="D22" s="134"/>
    </row>
    <row r="23" spans="1:4">
      <c r="A23" s="134"/>
      <c r="B23" s="134"/>
      <c r="C23" s="134"/>
      <c r="D23" s="134"/>
    </row>
    <row r="24" spans="1:4">
      <c r="A24" s="134"/>
      <c r="B24" s="134"/>
      <c r="C24" s="134"/>
      <c r="D24" s="134"/>
    </row>
    <row r="25" spans="1:4">
      <c r="A25" s="134"/>
      <c r="B25" s="134"/>
      <c r="C25" s="134"/>
      <c r="D25" s="134"/>
    </row>
    <row r="26" spans="1:4">
      <c r="A26" s="134"/>
      <c r="B26" s="134"/>
      <c r="C26" s="134"/>
      <c r="D26" s="134"/>
    </row>
    <row r="27" spans="1:4">
      <c r="A27" s="134"/>
      <c r="B27" s="134"/>
      <c r="C27" s="134"/>
      <c r="D27" s="134"/>
    </row>
    <row r="28" spans="1:4">
      <c r="A28" s="134"/>
      <c r="B28" s="134"/>
      <c r="C28" s="134"/>
      <c r="D28" s="134"/>
    </row>
    <row r="29" spans="1:4">
      <c r="A29" s="134"/>
      <c r="B29" s="134"/>
      <c r="C29" s="134"/>
      <c r="D29" s="134"/>
    </row>
    <row r="30" spans="1:4">
      <c r="A30" s="134"/>
      <c r="B30" s="134"/>
      <c r="C30" s="134"/>
      <c r="D30" s="134"/>
    </row>
    <row r="31" spans="1:4">
      <c r="A31" s="134"/>
      <c r="B31" s="134"/>
      <c r="C31" s="134"/>
      <c r="D31" s="134"/>
    </row>
    <row r="32" spans="1:4">
      <c r="A32" s="134"/>
      <c r="B32" s="134"/>
      <c r="C32" s="134"/>
      <c r="D32" s="134"/>
    </row>
    <row r="33" spans="1:4">
      <c r="A33" s="134"/>
      <c r="B33" s="134"/>
      <c r="C33" s="134"/>
      <c r="D33" s="134"/>
    </row>
    <row r="34" spans="1:4">
      <c r="A34" s="134"/>
      <c r="B34" s="134"/>
      <c r="C34" s="134"/>
      <c r="D34" s="134"/>
    </row>
    <row r="35" spans="1:4">
      <c r="A35" s="134"/>
      <c r="B35" s="134"/>
      <c r="C35" s="134"/>
      <c r="D35" s="134"/>
    </row>
    <row r="36" spans="1:4">
      <c r="A36" s="134"/>
      <c r="B36" s="134"/>
      <c r="C36" s="134"/>
      <c r="D36" s="134"/>
    </row>
    <row r="37" spans="1:4">
      <c r="A37" s="134"/>
      <c r="B37" s="134"/>
      <c r="C37" s="134"/>
      <c r="D37" s="134"/>
    </row>
    <row r="38" spans="1:4">
      <c r="A38" s="134"/>
      <c r="B38" s="134"/>
      <c r="C38" s="134"/>
      <c r="D38" s="134"/>
    </row>
    <row r="39" spans="1:4">
      <c r="A39" s="134"/>
      <c r="B39" s="134"/>
      <c r="C39" s="134"/>
      <c r="D39" s="134"/>
    </row>
    <row r="40" spans="1:4">
      <c r="A40" s="134"/>
      <c r="B40" s="134"/>
      <c r="C40" s="134"/>
      <c r="D40" s="134"/>
    </row>
    <row r="41" spans="1:4">
      <c r="A41" s="134"/>
      <c r="B41" s="134"/>
      <c r="C41" s="134"/>
      <c r="D41" s="134"/>
    </row>
    <row r="42" spans="1:4">
      <c r="A42" s="134"/>
      <c r="B42" s="134"/>
      <c r="C42" s="134"/>
      <c r="D42" s="134"/>
    </row>
    <row r="43" spans="1:4">
      <c r="A43" s="134"/>
      <c r="B43" s="134"/>
      <c r="C43" s="134"/>
      <c r="D43" s="134"/>
    </row>
    <row r="44" spans="1:4">
      <c r="A44" s="134"/>
      <c r="B44" s="134"/>
      <c r="C44" s="134"/>
      <c r="D44" s="134"/>
    </row>
    <row r="45" spans="1:4">
      <c r="A45" s="134"/>
      <c r="B45" s="134"/>
      <c r="C45" s="134"/>
      <c r="D45" s="134"/>
    </row>
    <row r="46" spans="1:4">
      <c r="A46" s="134"/>
      <c r="B46" s="134"/>
      <c r="C46" s="134"/>
      <c r="D46" s="134"/>
    </row>
    <row r="47" spans="1:4">
      <c r="A47" s="134"/>
      <c r="B47" s="134"/>
      <c r="C47" s="134"/>
      <c r="D47" s="134"/>
    </row>
    <row r="48" spans="1:4">
      <c r="A48" s="134"/>
      <c r="B48" s="134"/>
      <c r="C48" s="134"/>
      <c r="D48" s="134"/>
    </row>
    <row r="49" spans="1:4">
      <c r="A49" s="134"/>
      <c r="B49" s="134"/>
      <c r="C49" s="134"/>
      <c r="D49" s="134"/>
    </row>
    <row r="50" spans="1:4">
      <c r="A50" s="134"/>
      <c r="B50" s="134"/>
      <c r="C50" s="134"/>
      <c r="D50" s="134"/>
    </row>
    <row r="51" spans="1:4">
      <c r="A51" s="134"/>
      <c r="B51" s="134"/>
      <c r="C51" s="134"/>
      <c r="D51" s="134"/>
    </row>
    <row r="52" spans="1:4">
      <c r="A52" s="134"/>
      <c r="B52" s="134"/>
      <c r="C52" s="134"/>
      <c r="D52" s="134"/>
    </row>
    <row r="53" spans="1:4">
      <c r="A53" s="134"/>
      <c r="B53" s="134"/>
      <c r="C53" s="134"/>
      <c r="D53" s="134"/>
    </row>
    <row r="54" spans="1:4">
      <c r="A54" s="134"/>
      <c r="B54" s="134"/>
      <c r="C54" s="134"/>
      <c r="D54" s="134"/>
    </row>
    <row r="55" spans="1:4">
      <c r="A55" s="134"/>
      <c r="B55" s="134"/>
      <c r="C55" s="134"/>
      <c r="D55" s="134"/>
    </row>
    <row r="56" spans="1:4">
      <c r="A56" s="134"/>
      <c r="B56" s="134"/>
      <c r="C56" s="134"/>
      <c r="D56" s="134"/>
    </row>
    <row r="57" spans="1:4">
      <c r="A57" s="134"/>
      <c r="B57" s="134"/>
      <c r="C57" s="134"/>
      <c r="D57" s="134"/>
    </row>
    <row r="58" spans="1:4">
      <c r="A58" s="134"/>
      <c r="B58" s="134"/>
      <c r="C58" s="134"/>
      <c r="D58" s="134"/>
    </row>
    <row r="59" spans="1:4">
      <c r="A59" s="134"/>
      <c r="B59" s="134"/>
      <c r="C59" s="134"/>
      <c r="D59" s="134"/>
    </row>
    <row r="60" spans="1:4">
      <c r="A60" s="134"/>
      <c r="B60" s="134"/>
      <c r="C60" s="134"/>
      <c r="D60" s="134"/>
    </row>
    <row r="61" spans="1:4">
      <c r="A61" s="134"/>
      <c r="B61" s="134"/>
      <c r="C61" s="134"/>
      <c r="D61" s="134"/>
    </row>
    <row r="62" spans="1:4">
      <c r="A62" s="134"/>
      <c r="B62" s="134"/>
      <c r="C62" s="134"/>
      <c r="D62" s="134"/>
    </row>
    <row r="63" spans="1:4">
      <c r="A63" s="134"/>
      <c r="B63" s="134"/>
      <c r="C63" s="134"/>
      <c r="D63" s="134"/>
    </row>
    <row r="64" spans="1:4">
      <c r="A64" s="134"/>
      <c r="B64" s="134"/>
      <c r="C64" s="134"/>
      <c r="D64" s="134"/>
    </row>
    <row r="65" spans="1:4">
      <c r="A65" s="134"/>
      <c r="B65" s="134"/>
      <c r="C65" s="134"/>
      <c r="D65" s="134"/>
    </row>
    <row r="66" spans="1:4">
      <c r="A66" s="134"/>
      <c r="B66" s="134"/>
      <c r="C66" s="134"/>
      <c r="D66" s="134"/>
    </row>
    <row r="67" spans="1:4">
      <c r="A67" s="134"/>
      <c r="B67" s="134"/>
      <c r="C67" s="134"/>
      <c r="D67" s="134"/>
    </row>
    <row r="68" spans="1:4">
      <c r="A68" s="134"/>
      <c r="B68" s="134"/>
      <c r="C68" s="134"/>
      <c r="D68" s="134"/>
    </row>
    <row r="69" spans="1:4">
      <c r="A69" s="134"/>
      <c r="B69" s="134"/>
      <c r="C69" s="134"/>
      <c r="D69" s="134"/>
    </row>
    <row r="70" spans="1:4">
      <c r="A70" s="134"/>
      <c r="B70" s="134"/>
      <c r="C70" s="134"/>
      <c r="D70" s="134"/>
    </row>
    <row r="71" spans="1:4">
      <c r="A71" s="134"/>
      <c r="B71" s="134"/>
      <c r="C71" s="134"/>
      <c r="D71" s="134"/>
    </row>
    <row r="72" spans="1:4">
      <c r="A72" s="134"/>
      <c r="B72" s="134"/>
      <c r="C72" s="134"/>
      <c r="D72" s="134"/>
    </row>
    <row r="73" spans="1:4">
      <c r="A73" s="134"/>
      <c r="B73" s="134"/>
      <c r="C73" s="134"/>
      <c r="D73" s="134"/>
    </row>
    <row r="74" spans="1:4">
      <c r="A74" s="134"/>
      <c r="B74" s="134"/>
      <c r="C74" s="134"/>
      <c r="D74" s="134"/>
    </row>
    <row r="75" spans="1:4">
      <c r="A75" s="134"/>
      <c r="B75" s="134"/>
      <c r="C75" s="134"/>
      <c r="D75" s="134"/>
    </row>
    <row r="76" spans="1:4">
      <c r="A76" s="134"/>
      <c r="B76" s="134"/>
      <c r="C76" s="134"/>
      <c r="D76" s="134"/>
    </row>
    <row r="77" spans="1:4">
      <c r="A77" s="134"/>
      <c r="B77" s="134"/>
      <c r="C77" s="134"/>
      <c r="D77" s="134"/>
    </row>
    <row r="78" spans="1:4">
      <c r="A78" s="134"/>
      <c r="B78" s="134"/>
      <c r="C78" s="134"/>
      <c r="D78" s="134"/>
    </row>
    <row r="79" spans="1:4">
      <c r="A79" s="134"/>
      <c r="B79" s="134"/>
      <c r="C79" s="134"/>
      <c r="D79" s="134"/>
    </row>
    <row r="80" spans="1:4">
      <c r="A80" s="134"/>
      <c r="B80" s="134"/>
      <c r="C80" s="134"/>
      <c r="D80" s="134"/>
    </row>
    <row r="81" spans="1:4">
      <c r="A81" s="134"/>
      <c r="B81" s="134"/>
      <c r="C81" s="134"/>
      <c r="D81" s="134"/>
    </row>
    <row r="82" spans="1:4">
      <c r="A82" s="134"/>
      <c r="B82" s="134"/>
      <c r="C82" s="134"/>
      <c r="D82" s="134"/>
    </row>
    <row r="83" spans="1:4">
      <c r="A83" s="134"/>
      <c r="B83" s="134"/>
      <c r="C83" s="134"/>
      <c r="D83" s="134"/>
    </row>
    <row r="84" spans="1:4">
      <c r="A84" s="134"/>
      <c r="B84" s="134"/>
      <c r="C84" s="134"/>
      <c r="D84" s="134"/>
    </row>
    <row r="85" spans="1:4">
      <c r="A85" s="134"/>
      <c r="B85" s="134"/>
      <c r="C85" s="134"/>
      <c r="D85" s="134"/>
    </row>
    <row r="86" spans="1:4">
      <c r="A86" s="134"/>
      <c r="B86" s="134"/>
      <c r="C86" s="134"/>
      <c r="D86" s="134"/>
    </row>
    <row r="87" spans="1:4">
      <c r="A87" s="134"/>
      <c r="B87" s="134"/>
      <c r="C87" s="134"/>
      <c r="D87" s="134"/>
    </row>
    <row r="88" spans="1:4">
      <c r="A88" s="134"/>
      <c r="B88" s="134"/>
      <c r="C88" s="134"/>
      <c r="D88" s="134"/>
    </row>
    <row r="89" spans="1:4">
      <c r="A89" s="134"/>
      <c r="B89" s="134"/>
      <c r="C89" s="134"/>
      <c r="D89" s="134"/>
    </row>
    <row r="90" spans="1:4">
      <c r="A90" s="134"/>
      <c r="B90" s="134"/>
      <c r="C90" s="134"/>
      <c r="D90" s="134"/>
    </row>
    <row r="91" spans="1:4">
      <c r="A91" s="134"/>
      <c r="B91" s="134"/>
      <c r="C91" s="134"/>
      <c r="D91" s="134"/>
    </row>
    <row r="92" spans="1:4">
      <c r="A92" s="134"/>
      <c r="B92" s="134"/>
      <c r="C92" s="134"/>
      <c r="D92" s="134"/>
    </row>
    <row r="93" spans="1:4">
      <c r="A93" s="134"/>
      <c r="B93" s="134"/>
      <c r="C93" s="134"/>
      <c r="D93" s="13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B71C-27D4-42A9-A7B3-C812AD88DEEB}">
  <dimension ref="A1:D93"/>
  <sheetViews>
    <sheetView zoomScaleNormal="100" workbookViewId="0"/>
  </sheetViews>
  <sheetFormatPr defaultColWidth="9.109375" defaultRowHeight="13.2"/>
  <cols>
    <col min="1" max="1" width="14.6640625" bestFit="1" customWidth="1"/>
    <col min="2" max="2" width="12.33203125" customWidth="1"/>
    <col min="3" max="3" width="8.6640625" bestFit="1" customWidth="1"/>
    <col min="4" max="4" width="13.33203125" customWidth="1"/>
  </cols>
  <sheetData>
    <row r="1" spans="1:4" ht="26.4">
      <c r="A1" s="148" t="s">
        <v>149</v>
      </c>
      <c r="B1" s="144" t="s">
        <v>15</v>
      </c>
      <c r="C1" s="144" t="s">
        <v>30</v>
      </c>
      <c r="D1" s="148" t="s">
        <v>250</v>
      </c>
    </row>
    <row r="2" spans="1:4">
      <c r="A2" s="147" t="s">
        <v>109</v>
      </c>
      <c r="B2" s="161">
        <v>2259</v>
      </c>
      <c r="C2" s="161">
        <v>180</v>
      </c>
      <c r="D2" s="161">
        <v>1860</v>
      </c>
    </row>
    <row r="3" spans="1:4">
      <c r="A3" s="141" t="s">
        <v>110</v>
      </c>
      <c r="B3" s="161">
        <v>3537</v>
      </c>
      <c r="C3" s="161">
        <v>1427</v>
      </c>
      <c r="D3" s="161">
        <v>1910</v>
      </c>
    </row>
    <row r="4" spans="1:4">
      <c r="A4" s="134" t="s">
        <v>111</v>
      </c>
      <c r="B4" s="161">
        <v>3114</v>
      </c>
      <c r="C4" s="161">
        <v>1013</v>
      </c>
      <c r="D4" s="161">
        <v>1950</v>
      </c>
    </row>
    <row r="5" spans="1:4">
      <c r="A5" s="134" t="s">
        <v>112</v>
      </c>
      <c r="B5" s="161">
        <v>3948</v>
      </c>
      <c r="C5" s="161">
        <v>1800</v>
      </c>
      <c r="D5" s="161">
        <v>1940</v>
      </c>
    </row>
    <row r="6" spans="1:4">
      <c r="A6" s="134" t="s">
        <v>113</v>
      </c>
      <c r="B6" s="161">
        <v>3639</v>
      </c>
      <c r="C6" s="161">
        <v>1456</v>
      </c>
      <c r="D6" s="161">
        <v>1970</v>
      </c>
    </row>
    <row r="7" spans="1:4">
      <c r="A7" s="134" t="s">
        <v>114</v>
      </c>
      <c r="B7" s="161">
        <v>3768</v>
      </c>
      <c r="C7" s="161">
        <v>1541</v>
      </c>
      <c r="D7" s="161">
        <v>1955</v>
      </c>
    </row>
    <row r="8" spans="1:4">
      <c r="A8" s="134" t="s">
        <v>115</v>
      </c>
      <c r="B8" s="161">
        <v>4461</v>
      </c>
      <c r="C8" s="161">
        <v>2178</v>
      </c>
      <c r="D8" s="161">
        <v>2038</v>
      </c>
    </row>
    <row r="9" spans="1:4">
      <c r="A9" s="145" t="s">
        <v>116</v>
      </c>
      <c r="B9" s="161">
        <v>4467</v>
      </c>
      <c r="C9" s="161">
        <v>2310</v>
      </c>
      <c r="D9" s="161">
        <v>1998</v>
      </c>
    </row>
    <row r="10" spans="1:4">
      <c r="A10" s="134" t="s">
        <v>117</v>
      </c>
      <c r="B10" s="161">
        <v>5104</v>
      </c>
      <c r="C10" s="161">
        <v>2652</v>
      </c>
      <c r="D10" s="161">
        <v>2125</v>
      </c>
    </row>
    <row r="11" spans="1:4">
      <c r="A11" s="143" t="s">
        <v>34</v>
      </c>
      <c r="B11" s="161">
        <v>6028</v>
      </c>
      <c r="C11" s="161">
        <v>3830</v>
      </c>
      <c r="D11" s="161">
        <v>1975</v>
      </c>
    </row>
    <row r="12" spans="1:4">
      <c r="A12" s="143" t="s">
        <v>37</v>
      </c>
      <c r="B12" s="161">
        <v>5345</v>
      </c>
      <c r="C12" s="161">
        <v>3246</v>
      </c>
      <c r="D12" s="161">
        <v>1945</v>
      </c>
    </row>
    <row r="13" spans="1:4">
      <c r="A13" s="145" t="s">
        <v>252</v>
      </c>
      <c r="B13" s="161">
        <v>5998</v>
      </c>
      <c r="C13" s="161">
        <v>3799.5</v>
      </c>
      <c r="D13" s="161">
        <v>2024.5</v>
      </c>
    </row>
    <row r="14" spans="1:4">
      <c r="A14" s="145" t="s">
        <v>253</v>
      </c>
      <c r="B14" s="161">
        <v>5977</v>
      </c>
      <c r="C14" s="161">
        <v>3650</v>
      </c>
      <c r="D14" s="161">
        <v>2050</v>
      </c>
    </row>
    <row r="15" spans="1:4">
      <c r="A15" s="143"/>
      <c r="B15" s="149"/>
      <c r="C15" s="149"/>
      <c r="D15" s="149"/>
    </row>
    <row r="16" spans="1:4">
      <c r="A16" s="143"/>
      <c r="B16" s="149"/>
      <c r="C16" s="149"/>
      <c r="D16" s="149"/>
    </row>
    <row r="17" spans="1:4">
      <c r="A17" s="143"/>
      <c r="B17" s="149"/>
      <c r="C17" s="149"/>
      <c r="D17" s="149"/>
    </row>
    <row r="18" spans="1:4">
      <c r="A18" s="134"/>
      <c r="B18" s="149"/>
      <c r="C18" s="149"/>
      <c r="D18" s="149"/>
    </row>
    <row r="19" spans="1:4">
      <c r="A19" s="134"/>
      <c r="B19" s="149"/>
      <c r="C19" s="149"/>
      <c r="D19" s="149"/>
    </row>
    <row r="20" spans="1:4">
      <c r="A20" s="134"/>
      <c r="B20" s="134"/>
      <c r="C20" s="134"/>
      <c r="D20" s="134"/>
    </row>
    <row r="21" spans="1:4">
      <c r="A21" s="134"/>
      <c r="B21" s="134"/>
      <c r="C21" s="134"/>
      <c r="D21" s="134"/>
    </row>
    <row r="22" spans="1:4">
      <c r="A22" s="134"/>
      <c r="B22" s="134"/>
      <c r="C22" s="134"/>
      <c r="D22" s="134"/>
    </row>
    <row r="23" spans="1:4">
      <c r="A23" s="134"/>
      <c r="B23" s="134"/>
      <c r="C23" s="134"/>
      <c r="D23" s="134"/>
    </row>
    <row r="24" spans="1:4">
      <c r="A24" s="134"/>
      <c r="B24" s="134"/>
      <c r="C24" s="134"/>
      <c r="D24" s="134"/>
    </row>
    <row r="25" spans="1:4">
      <c r="A25" s="134"/>
      <c r="B25" s="134"/>
      <c r="C25" s="134"/>
      <c r="D25" s="134"/>
    </row>
    <row r="26" spans="1:4">
      <c r="A26" s="134"/>
      <c r="B26" s="134"/>
      <c r="C26" s="134"/>
      <c r="D26" s="134"/>
    </row>
    <row r="27" spans="1:4">
      <c r="A27" s="134"/>
      <c r="B27" s="134"/>
      <c r="C27" s="134"/>
      <c r="D27" s="134"/>
    </row>
    <row r="28" spans="1:4">
      <c r="A28" s="134"/>
      <c r="B28" s="134"/>
      <c r="C28" s="134"/>
      <c r="D28" s="134"/>
    </row>
    <row r="29" spans="1:4">
      <c r="A29" s="134"/>
      <c r="B29" s="134"/>
      <c r="C29" s="134"/>
      <c r="D29" s="134"/>
    </row>
    <row r="30" spans="1:4">
      <c r="A30" s="134"/>
      <c r="B30" s="134"/>
      <c r="C30" s="134"/>
      <c r="D30" s="134"/>
    </row>
    <row r="31" spans="1:4">
      <c r="A31" s="134"/>
      <c r="B31" s="134"/>
      <c r="C31" s="134"/>
      <c r="D31" s="134"/>
    </row>
    <row r="32" spans="1:4">
      <c r="A32" s="134"/>
      <c r="B32" s="134"/>
      <c r="C32" s="134"/>
      <c r="D32" s="134"/>
    </row>
    <row r="33" spans="1:4">
      <c r="A33" s="134"/>
      <c r="B33" s="134"/>
      <c r="C33" s="134"/>
      <c r="D33" s="134"/>
    </row>
    <row r="34" spans="1:4">
      <c r="A34" s="134"/>
      <c r="B34" s="134"/>
      <c r="C34" s="134"/>
      <c r="D34" s="134"/>
    </row>
    <row r="35" spans="1:4">
      <c r="A35" s="134"/>
      <c r="B35" s="134"/>
      <c r="C35" s="134"/>
      <c r="D35" s="134"/>
    </row>
    <row r="36" spans="1:4">
      <c r="A36" s="134"/>
      <c r="B36" s="134"/>
      <c r="C36" s="134"/>
      <c r="D36" s="134"/>
    </row>
    <row r="37" spans="1:4">
      <c r="A37" s="134"/>
      <c r="B37" s="134"/>
      <c r="C37" s="134"/>
      <c r="D37" s="134"/>
    </row>
    <row r="38" spans="1:4">
      <c r="A38" s="134"/>
      <c r="B38" s="134"/>
      <c r="C38" s="134"/>
      <c r="D38" s="134"/>
    </row>
    <row r="39" spans="1:4">
      <c r="A39" s="134"/>
      <c r="B39" s="134"/>
      <c r="C39" s="134"/>
      <c r="D39" s="134"/>
    </row>
    <row r="40" spans="1:4">
      <c r="A40" s="134"/>
      <c r="B40" s="134"/>
      <c r="C40" s="134"/>
      <c r="D40" s="134"/>
    </row>
    <row r="41" spans="1:4">
      <c r="A41" s="134"/>
      <c r="B41" s="134"/>
      <c r="C41" s="134"/>
      <c r="D41" s="134"/>
    </row>
    <row r="42" spans="1:4">
      <c r="A42" s="134"/>
      <c r="B42" s="134"/>
      <c r="C42" s="134"/>
      <c r="D42" s="134"/>
    </row>
    <row r="43" spans="1:4">
      <c r="A43" s="134"/>
      <c r="B43" s="134"/>
      <c r="C43" s="134"/>
      <c r="D43" s="134"/>
    </row>
    <row r="44" spans="1:4">
      <c r="A44" s="134"/>
      <c r="B44" s="134"/>
      <c r="C44" s="134"/>
      <c r="D44" s="134"/>
    </row>
    <row r="45" spans="1:4">
      <c r="A45" s="134"/>
      <c r="B45" s="134"/>
      <c r="C45" s="134"/>
      <c r="D45" s="134"/>
    </row>
    <row r="46" spans="1:4">
      <c r="A46" s="134"/>
      <c r="B46" s="134"/>
      <c r="C46" s="134"/>
      <c r="D46" s="134"/>
    </row>
    <row r="47" spans="1:4">
      <c r="A47" s="134"/>
      <c r="B47" s="134"/>
      <c r="C47" s="134"/>
      <c r="D47" s="134"/>
    </row>
    <row r="48" spans="1:4">
      <c r="A48" s="134"/>
      <c r="B48" s="134"/>
      <c r="C48" s="134"/>
      <c r="D48" s="134"/>
    </row>
    <row r="49" spans="1:4">
      <c r="A49" s="134"/>
      <c r="B49" s="134"/>
      <c r="C49" s="134"/>
      <c r="D49" s="134"/>
    </row>
    <row r="50" spans="1:4">
      <c r="A50" s="134"/>
      <c r="B50" s="134"/>
      <c r="C50" s="134"/>
      <c r="D50" s="134"/>
    </row>
    <row r="51" spans="1:4">
      <c r="A51" s="134"/>
      <c r="B51" s="134"/>
      <c r="C51" s="134"/>
      <c r="D51" s="134"/>
    </row>
    <row r="52" spans="1:4">
      <c r="A52" s="134"/>
      <c r="B52" s="134"/>
      <c r="C52" s="134"/>
      <c r="D52" s="134"/>
    </row>
    <row r="53" spans="1:4">
      <c r="A53" s="134"/>
      <c r="B53" s="134"/>
      <c r="C53" s="134"/>
      <c r="D53" s="134"/>
    </row>
    <row r="54" spans="1:4">
      <c r="A54" s="134"/>
      <c r="B54" s="134"/>
      <c r="C54" s="134"/>
      <c r="D54" s="134"/>
    </row>
    <row r="55" spans="1:4">
      <c r="A55" s="134"/>
      <c r="B55" s="134"/>
      <c r="C55" s="134"/>
      <c r="D55" s="134"/>
    </row>
    <row r="56" spans="1:4">
      <c r="A56" s="134"/>
      <c r="B56" s="134"/>
      <c r="C56" s="134"/>
      <c r="D56" s="134"/>
    </row>
    <row r="57" spans="1:4">
      <c r="A57" s="134"/>
      <c r="B57" s="134"/>
      <c r="C57" s="134"/>
      <c r="D57" s="134"/>
    </row>
    <row r="58" spans="1:4">
      <c r="A58" s="134"/>
      <c r="B58" s="134"/>
      <c r="C58" s="134"/>
      <c r="D58" s="134"/>
    </row>
    <row r="59" spans="1:4">
      <c r="A59" s="134"/>
      <c r="B59" s="134"/>
      <c r="C59" s="134"/>
      <c r="D59" s="134"/>
    </row>
    <row r="60" spans="1:4">
      <c r="A60" s="134"/>
      <c r="B60" s="134"/>
      <c r="C60" s="134"/>
      <c r="D60" s="134"/>
    </row>
    <row r="61" spans="1:4">
      <c r="A61" s="134"/>
      <c r="B61" s="134"/>
      <c r="C61" s="134"/>
      <c r="D61" s="134"/>
    </row>
    <row r="62" spans="1:4">
      <c r="A62" s="134"/>
      <c r="B62" s="134"/>
      <c r="C62" s="134"/>
      <c r="D62" s="134"/>
    </row>
    <row r="63" spans="1:4">
      <c r="A63" s="134"/>
      <c r="B63" s="134"/>
      <c r="C63" s="134"/>
      <c r="D63" s="134"/>
    </row>
    <row r="64" spans="1:4">
      <c r="A64" s="134"/>
      <c r="B64" s="134"/>
      <c r="C64" s="134"/>
      <c r="D64" s="134"/>
    </row>
    <row r="65" spans="1:4">
      <c r="A65" s="134"/>
      <c r="B65" s="134"/>
      <c r="C65" s="134"/>
      <c r="D65" s="134"/>
    </row>
    <row r="66" spans="1:4">
      <c r="A66" s="134"/>
      <c r="B66" s="134"/>
      <c r="C66" s="134"/>
      <c r="D66" s="134"/>
    </row>
    <row r="67" spans="1:4">
      <c r="A67" s="134"/>
      <c r="B67" s="134"/>
      <c r="C67" s="134"/>
      <c r="D67" s="134"/>
    </row>
    <row r="68" spans="1:4">
      <c r="A68" s="134"/>
      <c r="B68" s="134"/>
      <c r="C68" s="134"/>
      <c r="D68" s="134"/>
    </row>
    <row r="69" spans="1:4">
      <c r="A69" s="134"/>
      <c r="B69" s="134"/>
      <c r="C69" s="134"/>
      <c r="D69" s="134"/>
    </row>
    <row r="70" spans="1:4">
      <c r="A70" s="134"/>
      <c r="B70" s="134"/>
      <c r="C70" s="134"/>
      <c r="D70" s="134"/>
    </row>
    <row r="71" spans="1:4">
      <c r="A71" s="134"/>
      <c r="B71" s="134"/>
      <c r="C71" s="134"/>
      <c r="D71" s="134"/>
    </row>
    <row r="72" spans="1:4">
      <c r="A72" s="134"/>
      <c r="B72" s="134"/>
      <c r="C72" s="134"/>
      <c r="D72" s="134"/>
    </row>
    <row r="73" spans="1:4">
      <c r="A73" s="134"/>
      <c r="B73" s="134"/>
      <c r="C73" s="134"/>
      <c r="D73" s="134"/>
    </row>
    <row r="74" spans="1:4">
      <c r="A74" s="134"/>
      <c r="B74" s="134"/>
      <c r="C74" s="134"/>
      <c r="D74" s="134"/>
    </row>
    <row r="75" spans="1:4">
      <c r="A75" s="134"/>
      <c r="B75" s="134"/>
      <c r="C75" s="134"/>
      <c r="D75" s="134"/>
    </row>
    <row r="76" spans="1:4">
      <c r="A76" s="134"/>
      <c r="B76" s="134"/>
      <c r="C76" s="134"/>
      <c r="D76" s="134"/>
    </row>
    <row r="77" spans="1:4">
      <c r="A77" s="134"/>
      <c r="B77" s="134"/>
      <c r="C77" s="134"/>
      <c r="D77" s="134"/>
    </row>
    <row r="78" spans="1:4">
      <c r="A78" s="134"/>
      <c r="B78" s="134"/>
      <c r="C78" s="134"/>
      <c r="D78" s="134"/>
    </row>
    <row r="79" spans="1:4">
      <c r="A79" s="134"/>
      <c r="B79" s="134"/>
      <c r="C79" s="134"/>
      <c r="D79" s="134"/>
    </row>
    <row r="80" spans="1:4">
      <c r="A80" s="134"/>
      <c r="B80" s="134"/>
      <c r="C80" s="134"/>
      <c r="D80" s="134"/>
    </row>
    <row r="81" spans="1:4">
      <c r="A81" s="134"/>
      <c r="B81" s="134"/>
      <c r="C81" s="134"/>
      <c r="D81" s="134"/>
    </row>
    <row r="82" spans="1:4">
      <c r="A82" s="134"/>
      <c r="B82" s="134"/>
      <c r="C82" s="134"/>
      <c r="D82" s="134"/>
    </row>
    <row r="83" spans="1:4">
      <c r="A83" s="134"/>
      <c r="B83" s="134"/>
      <c r="C83" s="134"/>
      <c r="D83" s="134"/>
    </row>
    <row r="84" spans="1:4">
      <c r="A84" s="134"/>
      <c r="B84" s="134"/>
      <c r="C84" s="134"/>
      <c r="D84" s="134"/>
    </row>
    <row r="85" spans="1:4">
      <c r="A85" s="134"/>
      <c r="B85" s="134"/>
      <c r="C85" s="134"/>
      <c r="D85" s="134"/>
    </row>
    <row r="86" spans="1:4">
      <c r="A86" s="134"/>
      <c r="B86" s="134"/>
      <c r="C86" s="134"/>
      <c r="D86" s="134"/>
    </row>
    <row r="87" spans="1:4">
      <c r="A87" s="134"/>
      <c r="B87" s="134"/>
      <c r="C87" s="134"/>
      <c r="D87" s="134"/>
    </row>
    <row r="88" spans="1:4">
      <c r="A88" s="134"/>
      <c r="B88" s="134"/>
      <c r="C88" s="134"/>
      <c r="D88" s="134"/>
    </row>
    <row r="89" spans="1:4">
      <c r="A89" s="134"/>
      <c r="B89" s="134"/>
      <c r="C89" s="134"/>
      <c r="D89" s="134"/>
    </row>
    <row r="90" spans="1:4">
      <c r="A90" s="134"/>
      <c r="B90" s="134"/>
      <c r="C90" s="134"/>
      <c r="D90" s="134"/>
    </row>
    <row r="91" spans="1:4">
      <c r="A91" s="134"/>
      <c r="B91" s="134"/>
      <c r="C91" s="134"/>
      <c r="D91" s="134"/>
    </row>
    <row r="92" spans="1:4">
      <c r="A92" s="134"/>
      <c r="B92" s="134"/>
      <c r="C92" s="134"/>
      <c r="D92" s="134"/>
    </row>
    <row r="93" spans="1:4">
      <c r="A93" s="134"/>
      <c r="B93" s="134"/>
      <c r="C93" s="134"/>
      <c r="D93" s="13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6"/>
  <sheetViews>
    <sheetView showGridLines="0" zoomScale="70" zoomScaleNormal="70" workbookViewId="0"/>
  </sheetViews>
  <sheetFormatPr defaultColWidth="9.109375" defaultRowHeight="13.2"/>
  <cols>
    <col min="1" max="1" width="21.6640625" style="18" customWidth="1"/>
    <col min="2" max="2" width="14.109375" style="18" bestFit="1" customWidth="1"/>
    <col min="3" max="3" width="9.5546875" style="18" customWidth="1"/>
    <col min="4" max="4" width="26.6640625" style="18" customWidth="1"/>
    <col min="5" max="5" width="9.6640625" style="18" customWidth="1"/>
    <col min="6" max="6" width="10.6640625" style="18" customWidth="1"/>
    <col min="7" max="7" width="8.6640625" style="18" bestFit="1" customWidth="1"/>
    <col min="8" max="8" width="9.6640625" style="18" customWidth="1"/>
    <col min="9" max="9" width="1.6640625" style="18" customWidth="1"/>
    <col min="10" max="10" width="9.6640625" style="18" customWidth="1"/>
    <col min="11" max="12" width="10.6640625" style="18" customWidth="1"/>
    <col min="13" max="13" width="10.33203125" style="18" customWidth="1"/>
    <col min="14" max="14" width="9.6640625" style="18" customWidth="1"/>
    <col min="15" max="16" width="9.109375" style="18"/>
    <col min="17" max="17" width="15.44140625" style="18" bestFit="1" customWidth="1"/>
    <col min="18" max="18" width="10.109375" style="18" bestFit="1" customWidth="1"/>
    <col min="19" max="16384" width="9.109375" style="18"/>
  </cols>
  <sheetData>
    <row r="1" spans="1:23" ht="13.8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8">
      <c r="A2" s="19"/>
      <c r="B2" s="20" t="s">
        <v>13</v>
      </c>
      <c r="C2" s="153"/>
      <c r="D2" s="21" t="s">
        <v>14</v>
      </c>
      <c r="E2" s="22"/>
      <c r="F2" s="153" t="s">
        <v>15</v>
      </c>
      <c r="G2" s="153"/>
      <c r="H2" s="153"/>
      <c r="I2" s="23"/>
      <c r="J2" s="22"/>
      <c r="K2" s="153"/>
      <c r="L2" s="24" t="s">
        <v>16</v>
      </c>
      <c r="M2" s="153"/>
      <c r="N2" s="19"/>
    </row>
    <row r="3" spans="1:23" ht="13.8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3.8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4">
      <c r="A5" s="19"/>
      <c r="B5" s="32" t="s">
        <v>31</v>
      </c>
      <c r="C5" s="154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>
      <c r="A6" s="19" t="s">
        <v>34</v>
      </c>
      <c r="B6" s="34">
        <v>76.099999999999994</v>
      </c>
      <c r="C6" s="34">
        <v>74.938999999999993</v>
      </c>
      <c r="D6" s="34">
        <f>F6/C6</f>
        <v>47.397323156167019</v>
      </c>
      <c r="E6" s="35">
        <v>909</v>
      </c>
      <c r="F6" s="36">
        <v>3551.9079999999999</v>
      </c>
      <c r="G6" s="37">
        <v>15.380623192800002</v>
      </c>
      <c r="H6" s="37">
        <f>SUM(E6:G6)</f>
        <v>4476.2886231927996</v>
      </c>
      <c r="I6" s="36" t="e">
        <f>#REF!</f>
        <v>#REF!</v>
      </c>
      <c r="J6" s="36">
        <v>2164.571916009776</v>
      </c>
      <c r="K6" s="36">
        <f>M6-L6-J6</f>
        <v>107.92510436542307</v>
      </c>
      <c r="L6" s="37">
        <v>1679.2506028176001</v>
      </c>
      <c r="M6" s="37">
        <f>H6-N6</f>
        <v>3951.7476231927994</v>
      </c>
      <c r="N6" s="37">
        <v>524.54100000000017</v>
      </c>
    </row>
    <row r="7" spans="1:23" ht="16.5" customHeight="1">
      <c r="A7" s="19" t="s">
        <v>35</v>
      </c>
      <c r="B7" s="34">
        <v>83.353999999999999</v>
      </c>
      <c r="C7" s="34">
        <v>82.602999999999994</v>
      </c>
      <c r="D7" s="34">
        <f>F7/C7</f>
        <v>51.042964541239421</v>
      </c>
      <c r="E7" s="35">
        <f>N6</f>
        <v>524.54100000000017</v>
      </c>
      <c r="F7" s="36">
        <f>F27</f>
        <v>4216.3019999999997</v>
      </c>
      <c r="G7" s="37">
        <f>G27</f>
        <v>19.838438342399996</v>
      </c>
      <c r="H7" s="37">
        <f>SUM(E7:G7)</f>
        <v>4760.6814383423998</v>
      </c>
      <c r="I7" s="19"/>
      <c r="J7" s="36">
        <f>J27</f>
        <v>2140.6021535309255</v>
      </c>
      <c r="K7" s="36">
        <f t="shared" ref="K7:K8" si="0">M7-L7-J7</f>
        <v>102.5292367522743</v>
      </c>
      <c r="L7" s="37">
        <f>L27</f>
        <v>2260.5710480591997</v>
      </c>
      <c r="M7" s="37">
        <f>H7-N7</f>
        <v>4503.7024383423995</v>
      </c>
      <c r="N7" s="37">
        <f>N26</f>
        <v>256.97899999999998</v>
      </c>
    </row>
    <row r="8" spans="1:23" ht="16.5" customHeight="1">
      <c r="A8" s="19" t="s">
        <v>36</v>
      </c>
      <c r="B8" s="34">
        <v>87.194999999999993</v>
      </c>
      <c r="C8" s="34">
        <v>86.331999999999994</v>
      </c>
      <c r="D8" s="34">
        <f>F8/C8</f>
        <v>51.374137052309692</v>
      </c>
      <c r="E8" s="35">
        <f>N7</f>
        <v>256.97899999999998</v>
      </c>
      <c r="F8" s="36">
        <v>4435.232</v>
      </c>
      <c r="G8" s="37">
        <v>15</v>
      </c>
      <c r="H8" s="37">
        <f>SUM(E8:G8)</f>
        <v>4707.2110000000002</v>
      </c>
      <c r="I8" s="19"/>
      <c r="J8" s="36">
        <v>2215</v>
      </c>
      <c r="K8" s="36">
        <f t="shared" si="0"/>
        <v>117.21100000000024</v>
      </c>
      <c r="L8" s="37">
        <v>2090</v>
      </c>
      <c r="M8" s="37">
        <f>H8-N8</f>
        <v>4422.2110000000002</v>
      </c>
      <c r="N8" s="37">
        <v>285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41" t="s">
        <v>37</v>
      </c>
      <c r="B10" s="139"/>
      <c r="C10" s="139"/>
      <c r="D10" s="139"/>
      <c r="E10" s="43"/>
      <c r="F10" s="44"/>
      <c r="G10" s="7"/>
      <c r="H10" s="14"/>
      <c r="I10" s="139"/>
      <c r="J10" s="14"/>
      <c r="K10" s="45"/>
      <c r="L10" s="7"/>
      <c r="M10" s="7"/>
      <c r="N10" s="14"/>
    </row>
    <row r="11" spans="1:23" ht="16.5" customHeight="1">
      <c r="A11" s="23" t="s">
        <v>38</v>
      </c>
      <c r="B11" s="139"/>
      <c r="C11" s="139"/>
      <c r="D11" s="139"/>
      <c r="E11" s="43"/>
      <c r="F11" s="44"/>
      <c r="G11" s="7">
        <f>(44527.6*36.744)/1000000</f>
        <v>1.6361221343999999</v>
      </c>
      <c r="I11" s="139"/>
      <c r="J11" s="14">
        <f>((5131665*0.907185)*36.744)/1000000</f>
        <v>171.05689738659061</v>
      </c>
      <c r="K11" s="42"/>
      <c r="L11" s="7">
        <f>(7191284.4*36.744)/1000000</f>
        <v>264.23655399360001</v>
      </c>
      <c r="M11" s="7"/>
      <c r="N11" s="14"/>
    </row>
    <row r="12" spans="1:23" ht="16.5" customHeight="1">
      <c r="A12" s="23" t="s">
        <v>39</v>
      </c>
      <c r="B12" s="139"/>
      <c r="C12" s="139"/>
      <c r="D12" s="139"/>
      <c r="E12" s="46"/>
      <c r="F12" s="44"/>
      <c r="G12" s="7">
        <f>(24879.1*36.744)/1000000</f>
        <v>0.91415765039999997</v>
      </c>
      <c r="I12" s="139"/>
      <c r="J12" s="14">
        <f>((5897079*0.907185)*36.744)/1000000</f>
        <v>196.57090581392558</v>
      </c>
      <c r="K12" s="42"/>
      <c r="L12" s="7">
        <f>(11636404.4*36.744)/1000000</f>
        <v>427.56804327359998</v>
      </c>
      <c r="M12" s="7"/>
      <c r="N12" s="14"/>
    </row>
    <row r="13" spans="1:23" ht="16.5" customHeight="1">
      <c r="A13" s="23" t="s">
        <v>40</v>
      </c>
      <c r="B13" s="139"/>
      <c r="C13" s="139"/>
      <c r="D13" s="139"/>
      <c r="E13" s="46"/>
      <c r="F13" s="44"/>
      <c r="G13" s="7">
        <f>(12431.7*36.744)/1000000</f>
        <v>0.4567903848</v>
      </c>
      <c r="I13" s="139"/>
      <c r="J13" s="14">
        <f>((5731207*0.907185)*36.744)/1000000</f>
        <v>191.04179397920748</v>
      </c>
      <c r="K13" s="42"/>
      <c r="L13" s="7">
        <f>(10867331.6*36.744)/1000000</f>
        <v>399.30923231040003</v>
      </c>
      <c r="M13" s="7"/>
      <c r="N13" s="14"/>
    </row>
    <row r="14" spans="1:23" ht="16.5" customHeight="1">
      <c r="A14" s="23" t="s">
        <v>41</v>
      </c>
      <c r="B14" s="139"/>
      <c r="C14" s="139"/>
      <c r="D14" s="139"/>
      <c r="E14" s="43">
        <f>N6</f>
        <v>524.54100000000017</v>
      </c>
      <c r="F14" s="44">
        <v>4216.3019999999997</v>
      </c>
      <c r="G14" s="7">
        <f>G11+G12+G13</f>
        <v>3.0070701696</v>
      </c>
      <c r="H14" s="14">
        <f>E14+F14+G14</f>
        <v>4743.8500701696003</v>
      </c>
      <c r="I14" s="139"/>
      <c r="J14" s="14">
        <f>J11+J12+J13</f>
        <v>558.66959717972361</v>
      </c>
      <c r="K14" s="42">
        <f>M14-L14-J14</f>
        <v>147.32664341227689</v>
      </c>
      <c r="L14" s="7">
        <f>L11+L12+L13</f>
        <v>1091.1138295776</v>
      </c>
      <c r="M14" s="7">
        <f>H14-N14</f>
        <v>1797.1100701696005</v>
      </c>
      <c r="N14" s="14">
        <v>2946.74</v>
      </c>
    </row>
    <row r="15" spans="1:23" ht="16.95" customHeight="1">
      <c r="A15" s="19" t="s">
        <v>42</v>
      </c>
      <c r="B15" s="139"/>
      <c r="C15" s="139"/>
      <c r="D15" s="139"/>
      <c r="E15" s="43"/>
      <c r="F15" s="7"/>
      <c r="G15" s="7">
        <f>(23426.8*36.744)/1000000</f>
        <v>0.86079433919999992</v>
      </c>
      <c r="H15" s="14"/>
      <c r="I15" s="139"/>
      <c r="J15" s="14">
        <f>((5794233*0.907185)*36.744)/1000000</f>
        <v>193.14267780827416</v>
      </c>
      <c r="K15" s="42"/>
      <c r="L15" s="7">
        <f>(10445198.5*36.744)/1000000</f>
        <v>383.79837368400001</v>
      </c>
      <c r="M15" s="7"/>
      <c r="N15" s="14"/>
    </row>
    <row r="16" spans="1:23" ht="16.95" customHeight="1">
      <c r="A16" s="19" t="s">
        <v>43</v>
      </c>
      <c r="B16" s="139"/>
      <c r="C16" s="139"/>
      <c r="D16" s="139"/>
      <c r="E16" s="43"/>
      <c r="F16" s="7"/>
      <c r="G16" s="7">
        <f>(19638*36.744)/1000000</f>
        <v>0.72157867200000003</v>
      </c>
      <c r="H16" s="14"/>
      <c r="I16" s="139"/>
      <c r="J16" s="14">
        <f>((5895360*0.907185)*36.744)/1000000</f>
        <v>196.5136053458304</v>
      </c>
      <c r="K16" s="42"/>
      <c r="L16" s="7">
        <f>(8696539.6*36.744)/1000000</f>
        <v>319.5456510624</v>
      </c>
      <c r="M16" s="7"/>
      <c r="N16" s="14"/>
    </row>
    <row r="17" spans="1:14" ht="16.95" customHeight="1">
      <c r="A17" s="19" t="s">
        <v>44</v>
      </c>
      <c r="B17" s="139"/>
      <c r="C17" s="139"/>
      <c r="D17" s="139"/>
      <c r="E17" s="43"/>
      <c r="F17" s="7"/>
      <c r="G17" s="7">
        <f>(22552.9*36.744)/1000000</f>
        <v>0.82868375760000001</v>
      </c>
      <c r="H17" s="14"/>
      <c r="I17" s="139"/>
      <c r="J17" s="14">
        <f>((4930499*0.907185)*36.744)/1000000</f>
        <v>164.35130927441435</v>
      </c>
      <c r="K17" s="42"/>
      <c r="L17" s="7">
        <f>(4558707.1*36.744)/1000000</f>
        <v>167.50513368239999</v>
      </c>
      <c r="M17" s="7"/>
      <c r="N17" s="14"/>
    </row>
    <row r="18" spans="1:14" ht="16.95" customHeight="1">
      <c r="A18" s="19" t="s">
        <v>45</v>
      </c>
      <c r="B18" s="139"/>
      <c r="C18" s="139"/>
      <c r="D18" s="139"/>
      <c r="E18" s="43">
        <f>N14</f>
        <v>2946.74</v>
      </c>
      <c r="F18" s="7"/>
      <c r="G18" s="7">
        <f>SUM(G15:G17)</f>
        <v>2.4110567688</v>
      </c>
      <c r="H18" s="14">
        <f>E18+F18+G18</f>
        <v>2949.1510567687997</v>
      </c>
      <c r="I18" s="139"/>
      <c r="J18" s="14">
        <f>SUM(J15:J17)</f>
        <v>554.00759242851893</v>
      </c>
      <c r="K18" s="42">
        <f>M18-L18-J18</f>
        <v>-37.389694088519263</v>
      </c>
      <c r="L18" s="7">
        <f>SUM(L15:L17)</f>
        <v>870.84915842880002</v>
      </c>
      <c r="M18" s="7">
        <f>H18-N18</f>
        <v>1387.4670567687997</v>
      </c>
      <c r="N18" s="14">
        <v>1561.684</v>
      </c>
    </row>
    <row r="19" spans="1:14" ht="16.95" customHeight="1">
      <c r="A19" s="19" t="s">
        <v>46</v>
      </c>
      <c r="B19" s="139"/>
      <c r="C19" s="139"/>
      <c r="D19" s="139"/>
      <c r="E19" s="43"/>
      <c r="F19" s="7"/>
      <c r="G19" s="7">
        <f>(26142.7*36.744)/1000000</f>
        <v>0.96058736880000006</v>
      </c>
      <c r="H19" s="14"/>
      <c r="I19" s="139"/>
      <c r="J19" s="14">
        <f>((5646728*0.907185)*36.744)/1000000</f>
        <v>188.22580430834591</v>
      </c>
      <c r="K19" s="42"/>
      <c r="L19" s="7">
        <f>(2295121.8*36.744)/1000000</f>
        <v>84.331955419199986</v>
      </c>
      <c r="M19" s="7"/>
      <c r="N19" s="47"/>
    </row>
    <row r="20" spans="1:14" ht="16.95" customHeight="1">
      <c r="A20" s="19" t="s">
        <v>47</v>
      </c>
      <c r="B20" s="139"/>
      <c r="C20" s="139"/>
      <c r="D20" s="139"/>
      <c r="E20" s="43"/>
      <c r="F20" s="7"/>
      <c r="G20" s="7">
        <f>(34734.1*36.744)/1000000</f>
        <v>1.2762697704000001</v>
      </c>
      <c r="H20" s="14"/>
      <c r="I20" s="139"/>
      <c r="J20" s="14">
        <f>((5095631*0.907185)*36.744)/1000000</f>
        <v>169.85575424095885</v>
      </c>
      <c r="K20" s="42"/>
      <c r="L20" s="7">
        <f>(1384924.4*36.744)/1000000</f>
        <v>50.887662153599997</v>
      </c>
      <c r="M20" s="7"/>
      <c r="N20" s="47"/>
    </row>
    <row r="21" spans="1:14" ht="16.95" customHeight="1">
      <c r="A21" s="19" t="s">
        <v>48</v>
      </c>
      <c r="B21" s="139"/>
      <c r="C21" s="139"/>
      <c r="D21" s="139"/>
      <c r="E21" s="43"/>
      <c r="F21" s="7"/>
      <c r="G21" s="7">
        <f>(51046.1*36.744)/1000000</f>
        <v>1.8756378983999997</v>
      </c>
      <c r="H21" s="14"/>
      <c r="I21" s="139"/>
      <c r="J21" s="14">
        <f>((5205032*0.907185)*36.744)/1000000</f>
        <v>173.50248403158051</v>
      </c>
      <c r="K21" s="42"/>
      <c r="L21" s="7">
        <f>(1266685.1*36.744)/1000000</f>
        <v>46.543077314400001</v>
      </c>
      <c r="M21" s="7"/>
      <c r="N21" s="47"/>
    </row>
    <row r="22" spans="1:14" ht="16.95" customHeight="1">
      <c r="A22" s="19" t="s">
        <v>49</v>
      </c>
      <c r="B22" s="139"/>
      <c r="C22" s="139"/>
      <c r="D22" s="139"/>
      <c r="E22" s="43">
        <f>N18</f>
        <v>1561.684</v>
      </c>
      <c r="F22" s="7"/>
      <c r="G22" s="7">
        <f>SUM(G19:G21)</f>
        <v>4.1124950375999996</v>
      </c>
      <c r="H22" s="14">
        <f>E22+F22+G22</f>
        <v>1565.7964950375999</v>
      </c>
      <c r="I22" s="139"/>
      <c r="J22" s="15">
        <f>SUM(J19:J21)</f>
        <v>531.58404258088524</v>
      </c>
      <c r="K22" s="42">
        <f>M22-L22-J22</f>
        <v>83.409757569514682</v>
      </c>
      <c r="L22" s="7">
        <f>SUM(L19:L21)</f>
        <v>181.76269488719998</v>
      </c>
      <c r="M22" s="7">
        <f>H22-N22</f>
        <v>796.75649503759996</v>
      </c>
      <c r="N22" s="14">
        <v>769.04</v>
      </c>
    </row>
    <row r="23" spans="1:14" ht="16.95" customHeight="1">
      <c r="A23" s="19" t="s">
        <v>50</v>
      </c>
      <c r="B23" s="139"/>
      <c r="C23" s="139"/>
      <c r="D23" s="139"/>
      <c r="E23" s="43"/>
      <c r="F23" s="7"/>
      <c r="G23" s="7">
        <f>(205436.7*36.744)/1000000</f>
        <v>7.5485661048000008</v>
      </c>
      <c r="H23" s="14"/>
      <c r="I23" s="139"/>
      <c r="J23" s="15">
        <f>((4852334*0.907185)*36.744)/1000000</f>
        <v>161.74578798956375</v>
      </c>
      <c r="K23" s="42"/>
      <c r="L23" s="7">
        <f>(925497.6*36.744)/1000000</f>
        <v>34.006483814399999</v>
      </c>
      <c r="M23" s="7"/>
      <c r="N23" s="14"/>
    </row>
    <row r="24" spans="1:14" ht="16.95" customHeight="1">
      <c r="A24" s="19" t="s">
        <v>51</v>
      </c>
      <c r="B24" s="139"/>
      <c r="C24" s="139"/>
      <c r="D24" s="139"/>
      <c r="E24" s="43"/>
      <c r="F24" s="7"/>
      <c r="G24" s="7">
        <f>(59776.6*36.744)/1000000</f>
        <v>2.1964313903999999</v>
      </c>
      <c r="H24" s="14"/>
      <c r="I24" s="139"/>
      <c r="J24" s="15">
        <f>((4989996*0.907185)*36.744)/1000000</f>
        <v>166.33455880917742</v>
      </c>
      <c r="K24" s="42"/>
      <c r="L24" s="7">
        <f>(945804.5*36.744)/1000000</f>
        <v>34.752640548000002</v>
      </c>
      <c r="M24" s="7"/>
      <c r="N24" s="14"/>
    </row>
    <row r="25" spans="1:14" ht="16.95" customHeight="1">
      <c r="A25" s="19" t="s">
        <v>52</v>
      </c>
      <c r="B25" s="139"/>
      <c r="C25" s="139"/>
      <c r="D25" s="139"/>
      <c r="E25" s="43"/>
      <c r="F25" s="7"/>
      <c r="G25" s="7">
        <f>(15317.3*36.744)/1000000</f>
        <v>0.56281887119999996</v>
      </c>
      <c r="H25" s="14"/>
      <c r="I25" s="139"/>
      <c r="J25" s="15">
        <f>((5047776*0.907185)*36.744)/1000000</f>
        <v>168.26057454305666</v>
      </c>
      <c r="K25" s="42"/>
      <c r="L25" s="7">
        <f>(1308682.8*36.744)/1000000</f>
        <v>48.086240803199999</v>
      </c>
      <c r="M25" s="7"/>
      <c r="N25" s="14"/>
    </row>
    <row r="26" spans="1:14" ht="16.95" customHeight="1">
      <c r="A26" s="19" t="s">
        <v>53</v>
      </c>
      <c r="B26" s="139"/>
      <c r="C26" s="139"/>
      <c r="D26" s="139"/>
      <c r="E26" s="43">
        <f>N22</f>
        <v>769.04</v>
      </c>
      <c r="F26" s="7"/>
      <c r="G26" s="7">
        <f>SUM(G23:G25)</f>
        <v>10.307816366399999</v>
      </c>
      <c r="H26" s="14">
        <f>E26+F26+G26</f>
        <v>779.34781636639991</v>
      </c>
      <c r="I26" s="139"/>
      <c r="J26" s="15">
        <f>SUM(J23:J25)</f>
        <v>496.34092134179787</v>
      </c>
      <c r="K26" s="45">
        <f>M26-L26-J26</f>
        <v>-90.817470140998012</v>
      </c>
      <c r="L26" s="7">
        <f>SUM(L23:L25)</f>
        <v>116.8453651656</v>
      </c>
      <c r="M26" s="7">
        <f>H26-N26</f>
        <v>522.36881636639987</v>
      </c>
      <c r="N26" s="14">
        <v>256.97899999999998</v>
      </c>
    </row>
    <row r="27" spans="1:14" s="59" customFormat="1" ht="16.5" customHeight="1">
      <c r="A27" s="23" t="s">
        <v>28</v>
      </c>
      <c r="B27" s="139"/>
      <c r="C27" s="139"/>
      <c r="D27" s="139"/>
      <c r="E27" s="43"/>
      <c r="F27" s="44">
        <f>F14</f>
        <v>4216.3019999999997</v>
      </c>
      <c r="G27" s="7">
        <f>G14+G18+G22+G26</f>
        <v>19.838438342399996</v>
      </c>
      <c r="H27" s="14">
        <f>E14+F27+G27</f>
        <v>4760.6814383423998</v>
      </c>
      <c r="I27" s="139"/>
      <c r="J27" s="14">
        <f>J14+J18+J22+J26</f>
        <v>2140.6021535309255</v>
      </c>
      <c r="K27" s="42">
        <f>SUM(K14,K18,K22,K26)</f>
        <v>102.5292367522743</v>
      </c>
      <c r="L27" s="7">
        <f>L14+L18+L22+L26</f>
        <v>2260.5710480591997</v>
      </c>
      <c r="M27" s="7">
        <f>M14+M18+M22+M26</f>
        <v>4503.7024383424005</v>
      </c>
      <c r="N27" s="14"/>
    </row>
    <row r="28" spans="1:14" ht="16.5" customHeight="1">
      <c r="A28" s="23"/>
      <c r="B28" s="139"/>
      <c r="C28" s="139"/>
      <c r="D28" s="139"/>
      <c r="E28" s="43"/>
      <c r="F28" s="44"/>
      <c r="G28" s="7"/>
      <c r="H28" s="14"/>
      <c r="I28" s="139"/>
      <c r="J28" s="14"/>
      <c r="K28" s="42"/>
      <c r="L28" s="7"/>
      <c r="M28" s="7"/>
      <c r="N28" s="14"/>
    </row>
    <row r="29" spans="1:14" ht="16.5" customHeight="1">
      <c r="A29" s="55" t="s">
        <v>54</v>
      </c>
      <c r="B29" s="139"/>
      <c r="C29" s="139"/>
      <c r="D29" s="139"/>
      <c r="E29" s="43"/>
      <c r="F29" s="44"/>
      <c r="G29" s="7"/>
      <c r="H29" s="14"/>
      <c r="I29" s="139"/>
      <c r="J29" s="14"/>
      <c r="K29" s="42"/>
      <c r="L29" s="7"/>
      <c r="M29" s="7"/>
      <c r="N29" s="14"/>
    </row>
    <row r="30" spans="1:14" ht="16.5" customHeight="1">
      <c r="A30" s="23" t="s">
        <v>38</v>
      </c>
      <c r="B30" s="139"/>
      <c r="C30" s="139"/>
      <c r="D30" s="139"/>
      <c r="E30" s="43"/>
      <c r="F30" s="44"/>
      <c r="G30" s="7">
        <f>(24320.3*36.744)/1000000</f>
        <v>0.89362510319999999</v>
      </c>
      <c r="I30" s="139"/>
      <c r="J30" s="14">
        <f>((4924574*0.907185)*36.744)/1000000</f>
        <v>164.15380766099736</v>
      </c>
      <c r="K30" s="42"/>
      <c r="L30" s="7">
        <f>(2167640.8*36.744)/1000000</f>
        <v>79.647793555199996</v>
      </c>
      <c r="M30" s="7"/>
      <c r="N30" s="14"/>
    </row>
    <row r="31" spans="1:14" ht="16.5" customHeight="1">
      <c r="A31" s="23" t="s">
        <v>39</v>
      </c>
      <c r="B31" s="139"/>
      <c r="C31" s="139"/>
      <c r="D31" s="139"/>
      <c r="E31" s="43"/>
      <c r="F31" s="44"/>
      <c r="G31" s="7">
        <f>(19235.5*36.744)/1000000</f>
        <v>0.70678921199999989</v>
      </c>
      <c r="I31" s="139"/>
      <c r="J31" s="14">
        <f>((5908157*0.907185)*36.744)/1000000</f>
        <v>196.9401754972055</v>
      </c>
      <c r="K31" s="42"/>
      <c r="L31" s="7">
        <f>(10506970*36.744)/1000000</f>
        <v>386.06810568000003</v>
      </c>
      <c r="M31" s="7"/>
      <c r="N31" s="14"/>
    </row>
    <row r="32" spans="1:14" ht="16.5" customHeight="1">
      <c r="A32" s="23" t="s">
        <v>40</v>
      </c>
      <c r="B32" s="139"/>
      <c r="C32" s="139"/>
      <c r="D32" s="139"/>
      <c r="E32" s="43"/>
      <c r="F32" s="44"/>
      <c r="G32" s="7">
        <f>(34891.5*36.744)/1000000</f>
        <v>1.2820532760000001</v>
      </c>
      <c r="I32" s="139"/>
      <c r="J32" s="14">
        <f>((5717943*0.907185)*36.744)/1000000</f>
        <v>190.59965703399854</v>
      </c>
      <c r="K32" s="42"/>
      <c r="L32" s="7">
        <f>(10635733.5*36.744)/1000000</f>
        <v>390.79939172399997</v>
      </c>
      <c r="M32" s="7"/>
      <c r="N32" s="14"/>
    </row>
    <row r="33" spans="1:73" ht="16.5" customHeight="1">
      <c r="A33" s="23" t="s">
        <v>41</v>
      </c>
      <c r="B33" s="139"/>
      <c r="C33" s="139"/>
      <c r="D33" s="139"/>
      <c r="E33" s="43">
        <f>N26</f>
        <v>256.97899999999998</v>
      </c>
      <c r="F33" s="43">
        <v>4435.232</v>
      </c>
      <c r="G33" s="7">
        <f>SUM(G30:G32)</f>
        <v>2.8824675912000002</v>
      </c>
      <c r="H33" s="14">
        <f>SUM(E33:G33)</f>
        <v>4695.0934675912004</v>
      </c>
      <c r="I33" s="139"/>
      <c r="J33" s="14">
        <f>SUM(J30:J32)</f>
        <v>551.69364019220143</v>
      </c>
      <c r="K33" s="42">
        <f>M33-L33-J33</f>
        <v>137.60153643979902</v>
      </c>
      <c r="L33" s="7">
        <f>SUM(L30:L32)</f>
        <v>856.5152909592</v>
      </c>
      <c r="M33" s="7">
        <f>H33-N33</f>
        <v>1545.8104675912004</v>
      </c>
      <c r="N33" s="14">
        <v>3149.2829999999999</v>
      </c>
    </row>
    <row r="34" spans="1:73" ht="16.5" customHeight="1">
      <c r="A34" s="23" t="s">
        <v>42</v>
      </c>
      <c r="B34" s="139"/>
      <c r="C34" s="139"/>
      <c r="D34" s="139"/>
      <c r="E34" s="43"/>
      <c r="F34" s="43"/>
      <c r="G34" s="7">
        <f>(27875.3*36.744)/1000000</f>
        <v>1.0242500232</v>
      </c>
      <c r="H34" s="14"/>
      <c r="I34" s="139"/>
      <c r="J34" s="14">
        <f>((5947222*0.907185)*36.744)/1000000</f>
        <v>198.24235280153209</v>
      </c>
      <c r="K34" s="42"/>
      <c r="L34" s="7">
        <f>(8108078.4*36.744)/1000000</f>
        <v>297.92323272959999</v>
      </c>
      <c r="M34" s="7"/>
      <c r="N34" s="14"/>
    </row>
    <row r="35" spans="1:73" ht="16.5" customHeight="1">
      <c r="A35" s="23" t="s">
        <v>43</v>
      </c>
      <c r="B35" s="139"/>
      <c r="C35" s="139"/>
      <c r="D35" s="139"/>
      <c r="E35" s="43"/>
      <c r="F35" s="43"/>
      <c r="G35" s="7">
        <f>(23987.495*36.744)/1000000</f>
        <v>0.88139651627999993</v>
      </c>
      <c r="H35" s="14"/>
      <c r="I35" s="139"/>
      <c r="J35" s="14">
        <f>((5828974*0.907185)*36.744)/1000000</f>
        <v>194.30072060181334</v>
      </c>
      <c r="K35" s="42"/>
      <c r="L35" s="7">
        <f>(6406651*36.744)/1000000</f>
        <v>235.40598434400002</v>
      </c>
      <c r="M35" s="7"/>
      <c r="N35" s="14"/>
    </row>
    <row r="36" spans="1:73" ht="16.5" customHeight="1">
      <c r="A36" s="23" t="s">
        <v>28</v>
      </c>
      <c r="B36" s="139"/>
      <c r="C36" s="139"/>
      <c r="D36" s="139"/>
      <c r="E36" s="43"/>
      <c r="F36" s="43"/>
      <c r="G36" s="7">
        <f>SUM(G33:G35)</f>
        <v>4.7881141306800004</v>
      </c>
      <c r="H36" s="14"/>
      <c r="I36" s="139"/>
      <c r="J36" s="146">
        <f>SUM(J33:J35)</f>
        <v>944.23671359554692</v>
      </c>
      <c r="K36" s="42"/>
      <c r="L36" s="7">
        <f>SUM(L33:L35)</f>
        <v>1389.8445080327999</v>
      </c>
      <c r="M36" s="7"/>
      <c r="N36" s="14"/>
    </row>
    <row r="37" spans="1:73" ht="16.5" customHeight="1">
      <c r="A37" s="130" t="s">
        <v>55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31"/>
      <c r="M37" s="100"/>
      <c r="N37" s="100"/>
    </row>
    <row r="38" spans="1:73" ht="16.5" customHeight="1">
      <c r="A38" s="19" t="s">
        <v>56</v>
      </c>
      <c r="B38" s="19"/>
      <c r="C38" s="19"/>
      <c r="D38" s="1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73" ht="16.5" customHeight="1">
      <c r="A39" s="25" t="s">
        <v>57</v>
      </c>
      <c r="B39" s="50">
        <f ca="1">NOW()</f>
        <v>44630.680787962963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40"/>
      <c r="P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</row>
    <row r="40" spans="1:73">
      <c r="O40" s="140"/>
      <c r="P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</row>
    <row r="41" spans="1:73">
      <c r="O41" s="140"/>
      <c r="P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</row>
    <row r="42" spans="1:73">
      <c r="O42" s="140"/>
      <c r="P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</row>
    <row r="43" spans="1:73">
      <c r="F43" s="51"/>
      <c r="O43" s="140"/>
      <c r="P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</row>
    <row r="44" spans="1:73">
      <c r="O44" s="140"/>
      <c r="P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</row>
    <row r="45" spans="1:73">
      <c r="O45" s="140"/>
      <c r="P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</row>
    <row r="46" spans="1:73">
      <c r="O46" s="140"/>
      <c r="P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</row>
    <row r="47" spans="1:73">
      <c r="O47" s="140"/>
      <c r="P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</row>
    <row r="48" spans="1:73">
      <c r="O48" s="140"/>
      <c r="P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</row>
    <row r="49" spans="15:73">
      <c r="O49" s="140"/>
      <c r="P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</row>
    <row r="50" spans="15:73">
      <c r="O50" s="140"/>
      <c r="P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</row>
    <row r="51" spans="15:73">
      <c r="O51" s="140"/>
      <c r="P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</row>
    <row r="52" spans="15:73">
      <c r="O52" s="140"/>
      <c r="P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</row>
    <row r="53" spans="15:73">
      <c r="O53" s="140"/>
      <c r="P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</row>
    <row r="54" spans="15:73">
      <c r="O54" s="140"/>
      <c r="P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</row>
    <row r="55" spans="15:73">
      <c r="O55" s="140"/>
      <c r="P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</row>
    <row r="56" spans="15:73">
      <c r="O56" s="140"/>
      <c r="P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</row>
    <row r="57" spans="15:73">
      <c r="O57" s="140"/>
      <c r="P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</row>
    <row r="58" spans="15:73">
      <c r="O58" s="140"/>
      <c r="P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</row>
    <row r="59" spans="15:73">
      <c r="O59" s="140"/>
      <c r="P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</row>
    <row r="60" spans="15:73">
      <c r="O60" s="140"/>
      <c r="P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</row>
    <row r="61" spans="15:73">
      <c r="O61" s="140"/>
      <c r="P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</row>
    <row r="62" spans="15:73">
      <c r="O62" s="140"/>
      <c r="P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</row>
    <row r="63" spans="15:73">
      <c r="O63" s="140"/>
      <c r="P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</row>
    <row r="64" spans="15:73">
      <c r="O64" s="140"/>
      <c r="P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</row>
    <row r="65" spans="15:73">
      <c r="O65" s="140"/>
      <c r="P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</row>
    <row r="66" spans="15:73">
      <c r="O66" s="140"/>
      <c r="P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</row>
    <row r="67" spans="15:73"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</row>
    <row r="68" spans="15:73"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</row>
    <row r="69" spans="15:73"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</row>
    <row r="70" spans="15:73"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</row>
    <row r="71" spans="15:73"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</row>
    <row r="72" spans="15:73"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</row>
    <row r="73" spans="15:73"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</row>
    <row r="74" spans="15:73"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</row>
    <row r="75" spans="15:73"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</row>
    <row r="76" spans="15:73"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</row>
    <row r="77" spans="15:73"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</row>
    <row r="78" spans="15:73"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</row>
    <row r="79" spans="15:73"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</row>
    <row r="80" spans="15:73"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</row>
    <row r="81" spans="15:73"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</row>
    <row r="82" spans="15:73"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</row>
    <row r="83" spans="15:73"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</row>
    <row r="84" spans="15:73"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</row>
    <row r="85" spans="15:73"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</row>
    <row r="86" spans="15:73"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</row>
    <row r="87" spans="15:73"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</row>
    <row r="88" spans="15:73"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</row>
    <row r="89" spans="15:73"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</row>
    <row r="90" spans="15:73"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</row>
    <row r="91" spans="15:73"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</row>
    <row r="92" spans="15:73"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</row>
    <row r="93" spans="15:73"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</row>
    <row r="94" spans="15:73"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</row>
    <row r="95" spans="15:73"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</row>
    <row r="96" spans="15:73"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</row>
    <row r="97" spans="15:73"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</row>
    <row r="98" spans="15:73"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</row>
    <row r="99" spans="15:73"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</row>
    <row r="100" spans="15:73"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</row>
    <row r="101" spans="15:73"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</row>
    <row r="102" spans="15:73"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</row>
    <row r="103" spans="15:73"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</row>
    <row r="104" spans="15:73"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</row>
    <row r="105" spans="15:73"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</row>
    <row r="106" spans="15:73"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</row>
    <row r="107" spans="15:73"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</row>
    <row r="108" spans="15:73"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</row>
    <row r="109" spans="15:73"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</row>
    <row r="110" spans="15:73"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</row>
    <row r="111" spans="15:73"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</row>
    <row r="112" spans="15:73"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</row>
    <row r="113" spans="15:73"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</row>
    <row r="114" spans="15:73"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</row>
    <row r="115" spans="15:73"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</row>
    <row r="116" spans="15:73"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</row>
    <row r="117" spans="15:73"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</row>
    <row r="118" spans="15:73"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</row>
    <row r="119" spans="15:73"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</row>
    <row r="120" spans="15:73"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</row>
    <row r="121" spans="15:73"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</row>
    <row r="122" spans="15:73"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</row>
    <row r="123" spans="15:73"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</row>
    <row r="124" spans="15:73"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</row>
    <row r="125" spans="15:73"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</row>
    <row r="126" spans="15:73"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</row>
    <row r="127" spans="15:73"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</row>
    <row r="128" spans="15:73"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</row>
    <row r="129" spans="15:73"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</row>
    <row r="130" spans="15:73"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</row>
    <row r="131" spans="15:73"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</row>
    <row r="132" spans="15:73"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</row>
    <row r="133" spans="15:73"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</row>
    <row r="134" spans="15:73"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</row>
    <row r="135" spans="15:73"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</row>
    <row r="136" spans="15:73"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</row>
    <row r="137" spans="15:73"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0"/>
      <c r="BR137" s="140"/>
      <c r="BS137" s="140"/>
      <c r="BT137" s="140"/>
      <c r="BU137" s="140"/>
    </row>
    <row r="138" spans="15:73"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0"/>
      <c r="BR138" s="140"/>
      <c r="BS138" s="140"/>
      <c r="BT138" s="140"/>
      <c r="BU138" s="140"/>
    </row>
    <row r="139" spans="15:73"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</row>
    <row r="140" spans="15:73"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</row>
    <row r="141" spans="15:73"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</row>
    <row r="142" spans="15:73"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</row>
    <row r="143" spans="15:73"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</row>
    <row r="144" spans="15:73"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</row>
    <row r="145" spans="15:73"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</row>
    <row r="146" spans="15:73"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40"/>
      <c r="BR146" s="140"/>
      <c r="BS146" s="140"/>
      <c r="BT146" s="140"/>
      <c r="BU146" s="140"/>
    </row>
    <row r="147" spans="15:73"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</row>
    <row r="148" spans="15:73"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0"/>
      <c r="BR148" s="140"/>
      <c r="BS148" s="140"/>
      <c r="BT148" s="140"/>
      <c r="BU148" s="140"/>
    </row>
    <row r="149" spans="15:73"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  <c r="BQ149" s="140"/>
      <c r="BR149" s="140"/>
      <c r="BS149" s="140"/>
      <c r="BT149" s="140"/>
      <c r="BU149" s="140"/>
    </row>
    <row r="150" spans="15:73"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</row>
    <row r="151" spans="15:73"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</row>
    <row r="152" spans="15:73"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</row>
    <row r="153" spans="15:73"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</row>
    <row r="154" spans="15:73"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</row>
    <row r="155" spans="15:73"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</row>
    <row r="156" spans="15:73"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40"/>
      <c r="BS156" s="140"/>
      <c r="BT156" s="140"/>
      <c r="BU156" s="140"/>
    </row>
    <row r="157" spans="15:73"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</row>
    <row r="158" spans="15:73"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0"/>
    </row>
    <row r="159" spans="15:73"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</row>
    <row r="160" spans="15:73"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40"/>
      <c r="BS160" s="140"/>
      <c r="BT160" s="140"/>
      <c r="BU160" s="140"/>
    </row>
    <row r="161" spans="15:73"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40"/>
      <c r="BS161" s="140"/>
      <c r="BT161" s="140"/>
      <c r="BU161" s="140"/>
    </row>
    <row r="162" spans="15:73"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</row>
    <row r="163" spans="15:73"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</row>
    <row r="164" spans="15:73"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</row>
    <row r="165" spans="15:73"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</row>
    <row r="166" spans="15:73"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</row>
    <row r="167" spans="15:73"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</row>
    <row r="168" spans="15:73"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0"/>
      <c r="BR168" s="140"/>
      <c r="BS168" s="140"/>
      <c r="BT168" s="140"/>
      <c r="BU168" s="140"/>
    </row>
    <row r="169" spans="15:73"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</row>
    <row r="170" spans="15:73"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0"/>
      <c r="BR170" s="140"/>
      <c r="BS170" s="140"/>
      <c r="BT170" s="140"/>
      <c r="BU170" s="140"/>
    </row>
    <row r="171" spans="15:73"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</row>
    <row r="172" spans="15:73"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40"/>
      <c r="BS172" s="140"/>
      <c r="BT172" s="140"/>
      <c r="BU172" s="140"/>
    </row>
    <row r="173" spans="15:73"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</row>
    <row r="174" spans="15:73"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</row>
    <row r="175" spans="15:73"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</row>
    <row r="176" spans="15:73"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</row>
    <row r="177" spans="15:73"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  <c r="BQ177" s="140"/>
      <c r="BR177" s="140"/>
      <c r="BS177" s="140"/>
      <c r="BT177" s="140"/>
      <c r="BU177" s="140"/>
    </row>
    <row r="178" spans="15:73"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0"/>
      <c r="BR178" s="140"/>
      <c r="BS178" s="140"/>
      <c r="BT178" s="140"/>
      <c r="BU178" s="140"/>
    </row>
    <row r="179" spans="15:73"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</row>
    <row r="180" spans="15:73"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</row>
    <row r="181" spans="15:73"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</row>
    <row r="182" spans="15:73"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</row>
    <row r="183" spans="15:73"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</row>
    <row r="184" spans="15:73"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</row>
    <row r="185" spans="15:73"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0"/>
      <c r="BR185" s="140"/>
      <c r="BS185" s="140"/>
      <c r="BT185" s="140"/>
      <c r="BU185" s="140"/>
    </row>
    <row r="186" spans="15:73"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</row>
    <row r="187" spans="15:73"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</row>
    <row r="188" spans="15:73"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  <c r="BQ188" s="140"/>
      <c r="BR188" s="140"/>
      <c r="BS188" s="140"/>
      <c r="BT188" s="140"/>
      <c r="BU188" s="140"/>
    </row>
    <row r="189" spans="15:73"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0"/>
      <c r="BR189" s="140"/>
      <c r="BS189" s="140"/>
      <c r="BT189" s="140"/>
      <c r="BU189" s="140"/>
    </row>
    <row r="190" spans="15:73"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0"/>
      <c r="BR190" s="140"/>
      <c r="BS190" s="140"/>
      <c r="BT190" s="140"/>
      <c r="BU190" s="140"/>
    </row>
    <row r="191" spans="15:73"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</row>
    <row r="192" spans="15:73"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</row>
    <row r="193" spans="15:73"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</row>
    <row r="194" spans="15:73"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</row>
    <row r="195" spans="15:73"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</row>
    <row r="196" spans="15:73"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</row>
    <row r="197" spans="15:73"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</row>
    <row r="198" spans="15:73"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</row>
    <row r="199" spans="15:73"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</row>
    <row r="200" spans="15:73"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</row>
    <row r="201" spans="15:73"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</row>
    <row r="202" spans="15:73"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</row>
    <row r="203" spans="15:73"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</row>
    <row r="204" spans="15:73"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</row>
    <row r="205" spans="15:73"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</row>
    <row r="206" spans="15:73"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0"/>
      <c r="BR206" s="140"/>
      <c r="BS206" s="140"/>
      <c r="BT206" s="140"/>
      <c r="BU206" s="140"/>
    </row>
    <row r="207" spans="15:73"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</row>
    <row r="208" spans="15:73"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</row>
    <row r="209" spans="15:73"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</row>
    <row r="210" spans="15:73"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</row>
    <row r="211" spans="15:73"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</row>
    <row r="212" spans="15:73"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</row>
    <row r="213" spans="15:73"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</row>
    <row r="214" spans="15:73"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</row>
    <row r="215" spans="15:73"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</row>
    <row r="216" spans="15:73"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</row>
    <row r="217" spans="15:73"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0"/>
      <c r="BR217" s="140"/>
      <c r="BS217" s="140"/>
      <c r="BT217" s="140"/>
      <c r="BU217" s="140"/>
    </row>
    <row r="218" spans="15:73"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0"/>
      <c r="BR218" s="140"/>
      <c r="BS218" s="140"/>
      <c r="BT218" s="140"/>
      <c r="BU218" s="140"/>
    </row>
    <row r="219" spans="15:73"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0"/>
      <c r="BR219" s="140"/>
      <c r="BS219" s="140"/>
      <c r="BT219" s="140"/>
      <c r="BU219" s="140"/>
    </row>
    <row r="220" spans="15:73"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0"/>
      <c r="BR220" s="140"/>
      <c r="BS220" s="140"/>
      <c r="BT220" s="140"/>
      <c r="BU220" s="140"/>
    </row>
    <row r="221" spans="15:73"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0"/>
      <c r="BR221" s="140"/>
      <c r="BS221" s="140"/>
      <c r="BT221" s="140"/>
      <c r="BU221" s="140"/>
    </row>
    <row r="222" spans="15:73"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  <c r="BQ222" s="140"/>
      <c r="BR222" s="140"/>
      <c r="BS222" s="140"/>
      <c r="BT222" s="140"/>
      <c r="BU222" s="140"/>
    </row>
    <row r="223" spans="15:73"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0"/>
      <c r="BR223" s="140"/>
      <c r="BS223" s="140"/>
      <c r="BT223" s="140"/>
      <c r="BU223" s="140"/>
    </row>
    <row r="224" spans="15:73"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</row>
    <row r="225" spans="15:73"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</row>
    <row r="226" spans="15:73"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</row>
    <row r="227" spans="15:73"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</row>
    <row r="228" spans="15:73"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</row>
    <row r="229" spans="15:73"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</row>
    <row r="230" spans="15:73"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40"/>
      <c r="BS230" s="140"/>
      <c r="BT230" s="140"/>
      <c r="BU230" s="140"/>
    </row>
    <row r="231" spans="15:73"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  <c r="BQ231" s="140"/>
      <c r="BR231" s="140"/>
      <c r="BS231" s="140"/>
      <c r="BT231" s="140"/>
      <c r="BU231" s="140"/>
    </row>
    <row r="232" spans="15:73"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  <c r="BQ232" s="140"/>
      <c r="BR232" s="140"/>
      <c r="BS232" s="140"/>
      <c r="BT232" s="140"/>
      <c r="BU232" s="140"/>
    </row>
    <row r="233" spans="15:73"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  <c r="BQ233" s="140"/>
      <c r="BR233" s="140"/>
      <c r="BS233" s="140"/>
      <c r="BT233" s="140"/>
      <c r="BU233" s="140"/>
    </row>
    <row r="234" spans="15:73"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</row>
    <row r="235" spans="15:73"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</row>
    <row r="236" spans="15:73"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  <c r="BQ236" s="140"/>
      <c r="BR236" s="140"/>
      <c r="BS236" s="140"/>
      <c r="BT236" s="140"/>
      <c r="BU236" s="140"/>
    </row>
    <row r="237" spans="15:73"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</row>
    <row r="238" spans="15:73"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</row>
    <row r="239" spans="15:73"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0"/>
      <c r="BR239" s="140"/>
      <c r="BS239" s="140"/>
      <c r="BT239" s="140"/>
      <c r="BU239" s="140"/>
    </row>
    <row r="240" spans="15:73"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  <c r="BQ240" s="140"/>
      <c r="BR240" s="140"/>
      <c r="BS240" s="140"/>
      <c r="BT240" s="140"/>
      <c r="BU240" s="140"/>
    </row>
    <row r="241" spans="15:73"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</row>
    <row r="242" spans="15:73"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  <c r="BQ242" s="140"/>
      <c r="BR242" s="140"/>
      <c r="BS242" s="140"/>
      <c r="BT242" s="140"/>
      <c r="BU242" s="140"/>
    </row>
    <row r="243" spans="15:73"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  <c r="BQ243" s="140"/>
      <c r="BR243" s="140"/>
      <c r="BS243" s="140"/>
      <c r="BT243" s="140"/>
      <c r="BU243" s="140"/>
    </row>
    <row r="244" spans="15:73"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0"/>
      <c r="BR244" s="140"/>
      <c r="BS244" s="140"/>
      <c r="BT244" s="140"/>
      <c r="BU244" s="140"/>
    </row>
    <row r="245" spans="15:73"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</row>
    <row r="246" spans="15:73"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</row>
    <row r="247" spans="15:73"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</row>
    <row r="248" spans="15:73"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</row>
    <row r="249" spans="15:73"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  <c r="BQ249" s="140"/>
      <c r="BR249" s="140"/>
      <c r="BS249" s="140"/>
      <c r="BT249" s="140"/>
      <c r="BU249" s="140"/>
    </row>
    <row r="250" spans="15:73"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  <c r="BQ250" s="140"/>
      <c r="BR250" s="140"/>
      <c r="BS250" s="140"/>
      <c r="BT250" s="140"/>
      <c r="BU250" s="140"/>
    </row>
    <row r="251" spans="15:73"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  <c r="BQ251" s="140"/>
      <c r="BR251" s="140"/>
      <c r="BS251" s="140"/>
      <c r="BT251" s="140"/>
      <c r="BU251" s="140"/>
    </row>
    <row r="252" spans="15:73"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  <c r="BQ252" s="140"/>
      <c r="BR252" s="140"/>
      <c r="BS252" s="140"/>
      <c r="BT252" s="140"/>
      <c r="BU252" s="140"/>
    </row>
    <row r="253" spans="15:73"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  <c r="BQ253" s="140"/>
      <c r="BR253" s="140"/>
      <c r="BS253" s="140"/>
      <c r="BT253" s="140"/>
      <c r="BU253" s="140"/>
    </row>
    <row r="254" spans="15:73"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  <c r="BQ254" s="140"/>
      <c r="BR254" s="140"/>
      <c r="BS254" s="140"/>
      <c r="BT254" s="140"/>
      <c r="BU254" s="140"/>
    </row>
    <row r="255" spans="15:73"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  <c r="BQ255" s="140"/>
      <c r="BR255" s="140"/>
      <c r="BS255" s="140"/>
      <c r="BT255" s="140"/>
      <c r="BU255" s="140"/>
    </row>
    <row r="256" spans="15:73"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  <c r="BQ256" s="140"/>
      <c r="BR256" s="140"/>
      <c r="BS256" s="140"/>
      <c r="BT256" s="140"/>
      <c r="BU256" s="140"/>
    </row>
    <row r="257" spans="15:73"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  <c r="BQ257" s="140"/>
      <c r="BR257" s="140"/>
      <c r="BS257" s="140"/>
      <c r="BT257" s="140"/>
      <c r="BU257" s="140"/>
    </row>
    <row r="258" spans="15:73"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  <c r="BQ258" s="140"/>
      <c r="BR258" s="140"/>
      <c r="BS258" s="140"/>
      <c r="BT258" s="140"/>
      <c r="BU258" s="140"/>
    </row>
    <row r="259" spans="15:73"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  <c r="BQ259" s="140"/>
      <c r="BR259" s="140"/>
      <c r="BS259" s="140"/>
      <c r="BT259" s="140"/>
      <c r="BU259" s="140"/>
    </row>
    <row r="260" spans="15:73"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0"/>
      <c r="BR260" s="140"/>
      <c r="BS260" s="140"/>
      <c r="BT260" s="140"/>
      <c r="BU260" s="140"/>
    </row>
    <row r="261" spans="15:73"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</row>
    <row r="262" spans="15:73"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</row>
    <row r="263" spans="15:73"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</row>
    <row r="264" spans="15:73"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  <c r="BQ264" s="140"/>
      <c r="BR264" s="140"/>
      <c r="BS264" s="140"/>
      <c r="BT264" s="140"/>
      <c r="BU264" s="140"/>
    </row>
    <row r="265" spans="15:73"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  <c r="BQ265" s="140"/>
      <c r="BR265" s="140"/>
      <c r="BS265" s="140"/>
      <c r="BT265" s="140"/>
      <c r="BU265" s="140"/>
    </row>
    <row r="266" spans="15:73"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  <c r="BQ266" s="140"/>
      <c r="BR266" s="140"/>
      <c r="BS266" s="140"/>
      <c r="BT266" s="140"/>
      <c r="BU266" s="140"/>
    </row>
    <row r="267" spans="15:73"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</row>
    <row r="268" spans="15:73"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  <c r="BQ268" s="140"/>
      <c r="BR268" s="140"/>
      <c r="BS268" s="140"/>
      <c r="BT268" s="140"/>
      <c r="BU268" s="140"/>
    </row>
    <row r="269" spans="15:73"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</row>
    <row r="270" spans="15:73"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</row>
    <row r="271" spans="15:73"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</row>
    <row r="272" spans="15:73"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</row>
    <row r="273" spans="15:73"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</row>
    <row r="274" spans="15:73"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  <c r="BQ274" s="140"/>
      <c r="BR274" s="140"/>
      <c r="BS274" s="140"/>
      <c r="BT274" s="140"/>
      <c r="BU274" s="140"/>
    </row>
    <row r="275" spans="15:73"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  <c r="BQ275" s="140"/>
      <c r="BR275" s="140"/>
      <c r="BS275" s="140"/>
      <c r="BT275" s="140"/>
      <c r="BU275" s="140"/>
    </row>
    <row r="276" spans="15:73"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0"/>
      <c r="BR276" s="140"/>
      <c r="BS276" s="140"/>
      <c r="BT276" s="140"/>
      <c r="BU276" s="140"/>
    </row>
    <row r="277" spans="15:73"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0"/>
      <c r="BR277" s="140"/>
      <c r="BS277" s="140"/>
      <c r="BT277" s="140"/>
      <c r="BU277" s="140"/>
    </row>
    <row r="278" spans="15:73"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  <c r="BQ278" s="140"/>
      <c r="BR278" s="140"/>
      <c r="BS278" s="140"/>
      <c r="BT278" s="140"/>
      <c r="BU278" s="140"/>
    </row>
    <row r="279" spans="15:73"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</row>
    <row r="280" spans="15:73"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  <c r="BS280" s="140"/>
      <c r="BT280" s="140"/>
      <c r="BU280" s="140"/>
    </row>
    <row r="281" spans="15:73"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</row>
    <row r="282" spans="15:73"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</row>
    <row r="283" spans="15:73"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</row>
    <row r="284" spans="15:73"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</row>
    <row r="285" spans="15:73"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</row>
    <row r="286" spans="15:73"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</row>
    <row r="287" spans="15:73"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  <c r="BS287" s="140"/>
      <c r="BT287" s="140"/>
      <c r="BU287" s="140"/>
    </row>
    <row r="288" spans="15:73"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  <c r="BS288" s="140"/>
      <c r="BT288" s="140"/>
      <c r="BU288" s="140"/>
    </row>
    <row r="289" spans="15:73"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</row>
    <row r="290" spans="15:73"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  <c r="BS290" s="140"/>
      <c r="BT290" s="140"/>
      <c r="BU290" s="140"/>
    </row>
    <row r="291" spans="15:73"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  <c r="BQ291" s="140"/>
      <c r="BR291" s="140"/>
      <c r="BS291" s="140"/>
      <c r="BT291" s="140"/>
      <c r="BU291" s="140"/>
    </row>
    <row r="292" spans="15:73"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</row>
    <row r="293" spans="15:73"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</row>
    <row r="294" spans="15:73"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</row>
    <row r="295" spans="15:73"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</row>
    <row r="296" spans="15:73"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  <c r="BS296" s="140"/>
      <c r="BT296" s="140"/>
      <c r="BU296" s="140"/>
    </row>
    <row r="297" spans="15:73"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  <c r="BS297" s="140"/>
      <c r="BT297" s="140"/>
      <c r="BU297" s="140"/>
    </row>
    <row r="298" spans="15:73"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  <c r="BQ298" s="140"/>
      <c r="BR298" s="140"/>
      <c r="BS298" s="140"/>
      <c r="BT298" s="140"/>
      <c r="BU298" s="140"/>
    </row>
    <row r="299" spans="15:73"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  <c r="BQ299" s="140"/>
      <c r="BR299" s="140"/>
      <c r="BS299" s="140"/>
      <c r="BT299" s="140"/>
      <c r="BU299" s="140"/>
    </row>
    <row r="300" spans="15:73"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  <c r="BQ300" s="140"/>
      <c r="BR300" s="140"/>
      <c r="BS300" s="140"/>
      <c r="BT300" s="140"/>
      <c r="BU300" s="140"/>
    </row>
    <row r="301" spans="15:73"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0"/>
      <c r="BR301" s="140"/>
      <c r="BS301" s="140"/>
      <c r="BT301" s="140"/>
      <c r="BU301" s="140"/>
    </row>
    <row r="302" spans="15:73"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  <c r="BQ302" s="140"/>
      <c r="BR302" s="140"/>
      <c r="BS302" s="140"/>
      <c r="BT302" s="140"/>
      <c r="BU302" s="140"/>
    </row>
    <row r="303" spans="15:73"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  <c r="BQ303" s="140"/>
      <c r="BR303" s="140"/>
      <c r="BS303" s="140"/>
      <c r="BT303" s="140"/>
      <c r="BU303" s="140"/>
    </row>
    <row r="304" spans="15:73"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  <c r="BQ304" s="140"/>
      <c r="BR304" s="140"/>
      <c r="BS304" s="140"/>
      <c r="BT304" s="140"/>
      <c r="BU304" s="140"/>
    </row>
    <row r="305" spans="15:73"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  <c r="BS305" s="140"/>
      <c r="BT305" s="140"/>
      <c r="BU305" s="140"/>
    </row>
    <row r="306" spans="15:73"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  <c r="BS306" s="140"/>
      <c r="BT306" s="140"/>
      <c r="BU306" s="140"/>
    </row>
    <row r="307" spans="15:73"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</row>
    <row r="308" spans="15:73"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</row>
    <row r="309" spans="15:73"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0"/>
      <c r="BR309" s="140"/>
      <c r="BS309" s="140"/>
      <c r="BT309" s="140"/>
      <c r="BU309" s="140"/>
    </row>
    <row r="310" spans="15:73"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</row>
    <row r="311" spans="15:73"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0"/>
      <c r="BR311" s="140"/>
      <c r="BS311" s="140"/>
      <c r="BT311" s="140"/>
      <c r="BU311" s="140"/>
    </row>
    <row r="312" spans="15:73"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  <c r="BS312" s="140"/>
      <c r="BT312" s="140"/>
      <c r="BU312" s="140"/>
    </row>
    <row r="313" spans="15:73"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  <c r="BS313" s="140"/>
      <c r="BT313" s="140"/>
      <c r="BU313" s="140"/>
    </row>
    <row r="314" spans="15:73"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0"/>
      <c r="BR314" s="140"/>
      <c r="BS314" s="140"/>
      <c r="BT314" s="140"/>
      <c r="BU314" s="140"/>
    </row>
    <row r="315" spans="15:73"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0"/>
      <c r="BR315" s="140"/>
      <c r="BS315" s="140"/>
      <c r="BT315" s="140"/>
      <c r="BU315" s="140"/>
    </row>
    <row r="316" spans="15:73"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</row>
    <row r="317" spans="15:73"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</row>
    <row r="318" spans="15:73"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0"/>
      <c r="BR318" s="140"/>
      <c r="BS318" s="140"/>
      <c r="BT318" s="140"/>
      <c r="BU318" s="140"/>
    </row>
    <row r="319" spans="15:73"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  <c r="BS319" s="140"/>
      <c r="BT319" s="140"/>
      <c r="BU319" s="140"/>
    </row>
    <row r="320" spans="15:73"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0"/>
      <c r="BR320" s="140"/>
      <c r="BS320" s="140"/>
      <c r="BT320" s="140"/>
      <c r="BU320" s="140"/>
    </row>
    <row r="321" spans="15:73"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0"/>
      <c r="BR321" s="140"/>
      <c r="BS321" s="140"/>
      <c r="BT321" s="140"/>
      <c r="BU321" s="140"/>
    </row>
    <row r="322" spans="15:73"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</row>
    <row r="323" spans="15:73"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</row>
    <row r="324" spans="15:73"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  <c r="BQ324" s="140"/>
      <c r="BR324" s="140"/>
      <c r="BS324" s="140"/>
      <c r="BT324" s="140"/>
      <c r="BU324" s="140"/>
    </row>
    <row r="325" spans="15:73"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  <c r="BQ325" s="140"/>
      <c r="BR325" s="140"/>
      <c r="BS325" s="140"/>
      <c r="BT325" s="140"/>
      <c r="BU325" s="140"/>
    </row>
    <row r="326" spans="15:73"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  <c r="BQ326" s="140"/>
      <c r="BR326" s="140"/>
      <c r="BS326" s="140"/>
      <c r="BT326" s="140"/>
      <c r="BU326" s="140"/>
    </row>
    <row r="327" spans="15:73"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  <c r="BS327" s="140"/>
      <c r="BT327" s="140"/>
      <c r="BU327" s="140"/>
    </row>
    <row r="328" spans="15:73"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  <c r="BQ328" s="140"/>
      <c r="BR328" s="140"/>
      <c r="BS328" s="140"/>
      <c r="BT328" s="140"/>
      <c r="BU328" s="140"/>
    </row>
    <row r="329" spans="15:73"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0"/>
      <c r="BR329" s="140"/>
      <c r="BS329" s="140"/>
      <c r="BT329" s="140"/>
      <c r="BU329" s="140"/>
    </row>
    <row r="330" spans="15:73"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0"/>
      <c r="BR330" s="140"/>
      <c r="BS330" s="140"/>
      <c r="BT330" s="140"/>
      <c r="BU330" s="140"/>
    </row>
    <row r="331" spans="15:73"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  <c r="BQ331" s="140"/>
      <c r="BR331" s="140"/>
      <c r="BS331" s="140"/>
      <c r="BT331" s="140"/>
      <c r="BU331" s="140"/>
    </row>
    <row r="332" spans="15:73"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0"/>
      <c r="BR332" s="140"/>
      <c r="BS332" s="140"/>
      <c r="BT332" s="140"/>
      <c r="BU332" s="140"/>
    </row>
    <row r="333" spans="15:73"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</row>
    <row r="334" spans="15:73"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  <c r="BS334" s="140"/>
      <c r="BT334" s="140"/>
      <c r="BU334" s="140"/>
    </row>
    <row r="335" spans="15:73"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0"/>
      <c r="BR335" s="140"/>
      <c r="BS335" s="140"/>
      <c r="BT335" s="140"/>
      <c r="BU335" s="140"/>
    </row>
    <row r="336" spans="15:73"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  <c r="BS336" s="140"/>
      <c r="BT336" s="140"/>
      <c r="BU336" s="140"/>
    </row>
    <row r="337" spans="15:73"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0"/>
      <c r="BR337" s="140"/>
      <c r="BS337" s="140"/>
      <c r="BT337" s="140"/>
      <c r="BU337" s="140"/>
    </row>
    <row r="338" spans="15:73"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</row>
    <row r="339" spans="15:73"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0"/>
      <c r="BR339" s="140"/>
      <c r="BS339" s="140"/>
      <c r="BT339" s="140"/>
      <c r="BU339" s="140"/>
    </row>
    <row r="340" spans="15:73"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  <c r="BQ340" s="140"/>
      <c r="BR340" s="140"/>
      <c r="BS340" s="140"/>
      <c r="BT340" s="140"/>
      <c r="BU340" s="140"/>
    </row>
    <row r="341" spans="15:73"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0"/>
      <c r="BR341" s="140"/>
      <c r="BS341" s="140"/>
      <c r="BT341" s="140"/>
      <c r="BU341" s="140"/>
    </row>
    <row r="342" spans="15:73"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  <c r="BQ342" s="140"/>
      <c r="BR342" s="140"/>
      <c r="BS342" s="140"/>
      <c r="BT342" s="140"/>
      <c r="BU342" s="140"/>
    </row>
    <row r="343" spans="15:73"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  <c r="BQ343" s="140"/>
      <c r="BR343" s="140"/>
      <c r="BS343" s="140"/>
      <c r="BT343" s="140"/>
      <c r="BU343" s="140"/>
    </row>
    <row r="344" spans="15:73"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  <c r="BQ344" s="140"/>
      <c r="BR344" s="140"/>
      <c r="BS344" s="140"/>
      <c r="BT344" s="140"/>
      <c r="BU344" s="140"/>
    </row>
    <row r="345" spans="15:73"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  <c r="BQ345" s="140"/>
      <c r="BR345" s="140"/>
      <c r="BS345" s="140"/>
      <c r="BT345" s="140"/>
      <c r="BU345" s="140"/>
    </row>
    <row r="346" spans="15:73"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  <c r="BQ346" s="140"/>
      <c r="BR346" s="140"/>
      <c r="BS346" s="140"/>
      <c r="BT346" s="140"/>
      <c r="BU346" s="140"/>
    </row>
    <row r="347" spans="15:73"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  <c r="BQ347" s="140"/>
      <c r="BR347" s="140"/>
      <c r="BS347" s="140"/>
      <c r="BT347" s="140"/>
      <c r="BU347" s="140"/>
    </row>
    <row r="348" spans="15:73"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0"/>
      <c r="BR348" s="140"/>
      <c r="BS348" s="140"/>
      <c r="BT348" s="140"/>
      <c r="BU348" s="140"/>
    </row>
    <row r="349" spans="15:73"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  <c r="BQ349" s="140"/>
      <c r="BR349" s="140"/>
      <c r="BS349" s="140"/>
      <c r="BT349" s="140"/>
      <c r="BU349" s="140"/>
    </row>
    <row r="350" spans="15:73"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  <c r="BQ350" s="140"/>
      <c r="BR350" s="140"/>
      <c r="BS350" s="140"/>
      <c r="BT350" s="140"/>
      <c r="BU350" s="140"/>
    </row>
    <row r="351" spans="15:73"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0"/>
      <c r="BR351" s="140"/>
      <c r="BS351" s="140"/>
      <c r="BT351" s="140"/>
      <c r="BU351" s="140"/>
    </row>
    <row r="352" spans="15:73"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0"/>
      <c r="BR352" s="140"/>
      <c r="BS352" s="140"/>
      <c r="BT352" s="140"/>
      <c r="BU352" s="140"/>
    </row>
    <row r="353" spans="15:73"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</row>
    <row r="354" spans="15:73"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</row>
    <row r="355" spans="15:73"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0"/>
      <c r="BR355" s="140"/>
      <c r="BS355" s="140"/>
      <c r="BT355" s="140"/>
      <c r="BU355" s="140"/>
    </row>
    <row r="356" spans="15:73"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0"/>
      <c r="BR356" s="140"/>
      <c r="BS356" s="140"/>
      <c r="BT356" s="140"/>
      <c r="BU356" s="140"/>
    </row>
    <row r="357" spans="15:73"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0"/>
      <c r="BR357" s="140"/>
      <c r="BS357" s="140"/>
      <c r="BT357" s="140"/>
      <c r="BU357" s="140"/>
    </row>
    <row r="358" spans="15:73"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  <c r="BQ358" s="140"/>
      <c r="BR358" s="140"/>
      <c r="BS358" s="140"/>
      <c r="BT358" s="140"/>
      <c r="BU358" s="140"/>
    </row>
    <row r="359" spans="15:73"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  <c r="BQ359" s="140"/>
      <c r="BR359" s="140"/>
      <c r="BS359" s="140"/>
      <c r="BT359" s="140"/>
      <c r="BU359" s="140"/>
    </row>
    <row r="360" spans="15:73"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  <c r="BQ360" s="140"/>
      <c r="BR360" s="140"/>
      <c r="BS360" s="140"/>
      <c r="BT360" s="140"/>
      <c r="BU360" s="140"/>
    </row>
    <row r="361" spans="15:73"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  <c r="BQ361" s="140"/>
      <c r="BR361" s="140"/>
      <c r="BS361" s="140"/>
      <c r="BT361" s="140"/>
      <c r="BU361" s="140"/>
    </row>
    <row r="362" spans="15:73"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0"/>
      <c r="BR362" s="140"/>
      <c r="BS362" s="140"/>
      <c r="BT362" s="140"/>
      <c r="BU362" s="140"/>
    </row>
    <row r="363" spans="15:73"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  <c r="BQ363" s="140"/>
      <c r="BR363" s="140"/>
      <c r="BS363" s="140"/>
      <c r="BT363" s="140"/>
      <c r="BU363" s="140"/>
    </row>
    <row r="364" spans="15:73"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0"/>
      <c r="BR364" s="140"/>
      <c r="BS364" s="140"/>
      <c r="BT364" s="140"/>
      <c r="BU364" s="140"/>
    </row>
    <row r="365" spans="15:73"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</row>
    <row r="366" spans="15:73"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</row>
    <row r="367" spans="15:73"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</row>
    <row r="368" spans="15:73"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</row>
    <row r="369" spans="15:73"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  <c r="BQ369" s="140"/>
      <c r="BR369" s="140"/>
      <c r="BS369" s="140"/>
      <c r="BT369" s="140"/>
      <c r="BU369" s="140"/>
    </row>
    <row r="370" spans="15:73"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  <c r="BQ370" s="140"/>
      <c r="BR370" s="140"/>
      <c r="BS370" s="140"/>
      <c r="BT370" s="140"/>
      <c r="BU370" s="140"/>
    </row>
    <row r="371" spans="15:73"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</row>
    <row r="372" spans="15:73"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</row>
    <row r="373" spans="15:73"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</row>
    <row r="374" spans="15:73"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  <c r="BS374" s="140"/>
      <c r="BT374" s="140"/>
      <c r="BU374" s="140"/>
    </row>
    <row r="375" spans="15:73"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</row>
    <row r="376" spans="15:73"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0"/>
      <c r="BR376" s="140"/>
      <c r="BS376" s="140"/>
      <c r="BT376" s="140"/>
      <c r="BU376" s="140"/>
    </row>
    <row r="377" spans="15:73"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</row>
    <row r="378" spans="15:73"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</row>
    <row r="379" spans="15:73"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  <c r="BS379" s="140"/>
      <c r="BT379" s="140"/>
      <c r="BU379" s="140"/>
    </row>
    <row r="380" spans="15:73"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  <c r="BS380" s="140"/>
      <c r="BT380" s="140"/>
      <c r="BU380" s="140"/>
    </row>
    <row r="381" spans="15:73"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</row>
    <row r="382" spans="15:73"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</row>
    <row r="383" spans="15:73"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</row>
    <row r="384" spans="15:73"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</row>
    <row r="385" spans="15:73"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0"/>
      <c r="BR385" s="140"/>
      <c r="BS385" s="140"/>
      <c r="BT385" s="140"/>
      <c r="BU385" s="140"/>
    </row>
    <row r="386" spans="15:73"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  <c r="BS386" s="140"/>
      <c r="BT386" s="140"/>
      <c r="BU386" s="140"/>
    </row>
    <row r="387" spans="15:73"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0"/>
      <c r="BR387" s="140"/>
      <c r="BS387" s="140"/>
      <c r="BT387" s="140"/>
      <c r="BU387" s="140"/>
    </row>
    <row r="388" spans="15:73"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  <c r="BS388" s="140"/>
      <c r="BT388" s="140"/>
      <c r="BU388" s="140"/>
    </row>
    <row r="389" spans="15:73"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  <c r="BS389" s="140"/>
      <c r="BT389" s="140"/>
      <c r="BU389" s="140"/>
    </row>
    <row r="390" spans="15:73"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0"/>
      <c r="BR390" s="140"/>
      <c r="BS390" s="140"/>
      <c r="BT390" s="140"/>
      <c r="BU390" s="140"/>
    </row>
    <row r="391" spans="15:73"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  <c r="BQ391" s="140"/>
      <c r="BR391" s="140"/>
      <c r="BS391" s="140"/>
      <c r="BT391" s="140"/>
      <c r="BU391" s="140"/>
    </row>
    <row r="392" spans="15:73"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  <c r="BQ392" s="140"/>
      <c r="BR392" s="140"/>
      <c r="BS392" s="140"/>
      <c r="BT392" s="140"/>
      <c r="BU392" s="140"/>
    </row>
    <row r="393" spans="15:73"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  <c r="BQ393" s="140"/>
      <c r="BR393" s="140"/>
      <c r="BS393" s="140"/>
      <c r="BT393" s="140"/>
      <c r="BU393" s="140"/>
    </row>
    <row r="394" spans="15:73"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  <c r="BQ394" s="140"/>
      <c r="BR394" s="140"/>
      <c r="BS394" s="140"/>
      <c r="BT394" s="140"/>
      <c r="BU394" s="140"/>
    </row>
    <row r="395" spans="15:73"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0"/>
      <c r="BR395" s="140"/>
      <c r="BS395" s="140"/>
      <c r="BT395" s="140"/>
      <c r="BU395" s="140"/>
    </row>
    <row r="396" spans="15:73"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</row>
    <row r="397" spans="15:73"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</row>
    <row r="398" spans="15:73"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  <c r="BS398" s="140"/>
      <c r="BT398" s="140"/>
      <c r="BU398" s="140"/>
    </row>
    <row r="399" spans="15:73"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0"/>
      <c r="BR399" s="140"/>
      <c r="BS399" s="140"/>
      <c r="BT399" s="140"/>
      <c r="BU399" s="140"/>
    </row>
    <row r="400" spans="15:73"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0"/>
      <c r="BR400" s="140"/>
      <c r="BS400" s="140"/>
      <c r="BT400" s="140"/>
      <c r="BU400" s="140"/>
    </row>
    <row r="401" spans="15:73"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  <c r="BQ401" s="140"/>
      <c r="BR401" s="140"/>
      <c r="BS401" s="140"/>
      <c r="BT401" s="140"/>
      <c r="BU401" s="140"/>
    </row>
    <row r="402" spans="15:73"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  <c r="BQ402" s="140"/>
      <c r="BR402" s="140"/>
      <c r="BS402" s="140"/>
      <c r="BT402" s="140"/>
      <c r="BU402" s="140"/>
    </row>
    <row r="403" spans="15:73"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  <c r="BQ403" s="140"/>
      <c r="BR403" s="140"/>
      <c r="BS403" s="140"/>
      <c r="BT403" s="140"/>
      <c r="BU403" s="140"/>
    </row>
    <row r="404" spans="15:73"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  <c r="BQ404" s="140"/>
      <c r="BR404" s="140"/>
      <c r="BS404" s="140"/>
      <c r="BT404" s="140"/>
      <c r="BU404" s="140"/>
    </row>
    <row r="405" spans="15:73"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  <c r="BQ405" s="140"/>
      <c r="BR405" s="140"/>
      <c r="BS405" s="140"/>
      <c r="BT405" s="140"/>
      <c r="BU405" s="140"/>
    </row>
    <row r="406" spans="15:73"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  <c r="BQ406" s="140"/>
      <c r="BR406" s="140"/>
      <c r="BS406" s="140"/>
      <c r="BT406" s="140"/>
      <c r="BU406" s="140"/>
    </row>
    <row r="407" spans="15:73"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0"/>
      <c r="BR407" s="140"/>
      <c r="BS407" s="140"/>
      <c r="BT407" s="140"/>
      <c r="BU407" s="140"/>
    </row>
    <row r="408" spans="15:73"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0"/>
      <c r="BR408" s="140"/>
      <c r="BS408" s="140"/>
      <c r="BT408" s="140"/>
      <c r="BU408" s="140"/>
    </row>
    <row r="409" spans="15:73"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0"/>
      <c r="BR409" s="140"/>
      <c r="BS409" s="140"/>
      <c r="BT409" s="140"/>
      <c r="BU409" s="140"/>
    </row>
    <row r="410" spans="15:73"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</row>
    <row r="411" spans="15:73"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0"/>
      <c r="BR411" s="140"/>
      <c r="BS411" s="140"/>
      <c r="BT411" s="140"/>
      <c r="BU411" s="140"/>
    </row>
    <row r="412" spans="15:73"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0"/>
      <c r="BR412" s="140"/>
      <c r="BS412" s="140"/>
      <c r="BT412" s="140"/>
      <c r="BU412" s="140"/>
    </row>
    <row r="413" spans="15:73"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0"/>
      <c r="BR413" s="140"/>
      <c r="BS413" s="140"/>
      <c r="BT413" s="140"/>
      <c r="BU413" s="140"/>
    </row>
    <row r="414" spans="15:73"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  <c r="BQ414" s="140"/>
      <c r="BR414" s="140"/>
      <c r="BS414" s="140"/>
      <c r="BT414" s="140"/>
      <c r="BU414" s="140"/>
    </row>
    <row r="415" spans="15:73"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  <c r="BQ415" s="140"/>
      <c r="BR415" s="140"/>
      <c r="BS415" s="140"/>
      <c r="BT415" s="140"/>
      <c r="BU415" s="140"/>
    </row>
    <row r="416" spans="15:73"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0"/>
      <c r="BR416" s="140"/>
      <c r="BS416" s="140"/>
      <c r="BT416" s="140"/>
      <c r="BU416" s="140"/>
    </row>
    <row r="417" spans="15:73"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0"/>
      <c r="BR417" s="140"/>
      <c r="BS417" s="140"/>
      <c r="BT417" s="140"/>
      <c r="BU417" s="140"/>
    </row>
    <row r="418" spans="15:73"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  <c r="BS418" s="140"/>
      <c r="BT418" s="140"/>
      <c r="BU418" s="140"/>
    </row>
    <row r="419" spans="15:73"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0"/>
      <c r="BR419" s="140"/>
      <c r="BS419" s="140"/>
      <c r="BT419" s="140"/>
      <c r="BU419" s="140"/>
    </row>
    <row r="420" spans="15:73"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  <c r="BQ420" s="140"/>
      <c r="BR420" s="140"/>
      <c r="BS420" s="140"/>
      <c r="BT420" s="140"/>
      <c r="BU420" s="140"/>
    </row>
    <row r="421" spans="15:73"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0"/>
      <c r="BR421" s="140"/>
      <c r="BS421" s="140"/>
      <c r="BT421" s="140"/>
      <c r="BU421" s="140"/>
    </row>
    <row r="422" spans="15:73"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0"/>
      <c r="BR422" s="140"/>
      <c r="BS422" s="140"/>
      <c r="BT422" s="140"/>
      <c r="BU422" s="140"/>
    </row>
    <row r="423" spans="15:73"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0"/>
      <c r="BR423" s="140"/>
      <c r="BS423" s="140"/>
      <c r="BT423" s="140"/>
      <c r="BU423" s="140"/>
    </row>
    <row r="424" spans="15:73"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0"/>
      <c r="BR424" s="140"/>
      <c r="BS424" s="140"/>
      <c r="BT424" s="140"/>
      <c r="BU424" s="140"/>
    </row>
    <row r="425" spans="15:73"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0"/>
      <c r="BR425" s="140"/>
      <c r="BS425" s="140"/>
      <c r="BT425" s="140"/>
      <c r="BU425" s="140"/>
    </row>
    <row r="426" spans="15:73"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  <c r="BQ426" s="140"/>
      <c r="BR426" s="140"/>
      <c r="BS426" s="140"/>
      <c r="BT426" s="140"/>
      <c r="BU426" s="140"/>
    </row>
    <row r="427" spans="15:73"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  <c r="BQ427" s="140"/>
      <c r="BR427" s="140"/>
      <c r="BS427" s="140"/>
      <c r="BT427" s="140"/>
      <c r="BU427" s="140"/>
    </row>
    <row r="428" spans="15:73"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0"/>
      <c r="BR428" s="140"/>
      <c r="BS428" s="140"/>
      <c r="BT428" s="140"/>
      <c r="BU428" s="140"/>
    </row>
    <row r="429" spans="15:73"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0"/>
      <c r="BR429" s="140"/>
      <c r="BS429" s="140"/>
      <c r="BT429" s="140"/>
      <c r="BU429" s="140"/>
    </row>
    <row r="430" spans="15:73"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  <c r="BS430" s="140"/>
      <c r="BT430" s="140"/>
      <c r="BU430" s="140"/>
    </row>
    <row r="431" spans="15:73"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</row>
    <row r="432" spans="15:73"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  <c r="BS432" s="140"/>
      <c r="BT432" s="140"/>
      <c r="BU432" s="140"/>
    </row>
    <row r="433" spans="15:73"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  <c r="BS433" s="140"/>
      <c r="BT433" s="140"/>
      <c r="BU433" s="140"/>
    </row>
    <row r="434" spans="15:73"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0"/>
      <c r="BR434" s="140"/>
      <c r="BS434" s="140"/>
      <c r="BT434" s="140"/>
      <c r="BU434" s="140"/>
    </row>
    <row r="435" spans="15:73"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  <c r="BQ435" s="140"/>
      <c r="BR435" s="140"/>
      <c r="BS435" s="140"/>
      <c r="BT435" s="140"/>
      <c r="BU435" s="140"/>
    </row>
    <row r="436" spans="15:73"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  <c r="BQ436" s="140"/>
      <c r="BR436" s="140"/>
      <c r="BS436" s="140"/>
      <c r="BT436" s="140"/>
      <c r="BU436" s="140"/>
    </row>
    <row r="437" spans="15:73"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</row>
    <row r="438" spans="15:73"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</row>
    <row r="439" spans="15:73"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</row>
    <row r="440" spans="15:73"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  <c r="BS440" s="140"/>
      <c r="BT440" s="140"/>
      <c r="BU440" s="140"/>
    </row>
    <row r="441" spans="15:73"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</row>
    <row r="442" spans="15:73"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</row>
    <row r="443" spans="15:73"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  <c r="BS443" s="140"/>
      <c r="BT443" s="140"/>
      <c r="BU443" s="140"/>
    </row>
    <row r="444" spans="15:73"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  <c r="BS444" s="140"/>
      <c r="BT444" s="140"/>
      <c r="BU444" s="140"/>
    </row>
    <row r="445" spans="15:73"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0"/>
      <c r="BR445" s="140"/>
      <c r="BS445" s="140"/>
      <c r="BT445" s="140"/>
      <c r="BU445" s="140"/>
    </row>
    <row r="446" spans="15:73"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  <c r="BS446" s="140"/>
      <c r="BT446" s="140"/>
      <c r="BU446" s="140"/>
    </row>
    <row r="447" spans="15:73"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</row>
    <row r="448" spans="15:73"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</row>
    <row r="449" spans="15:73"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0"/>
      <c r="BR449" s="140"/>
      <c r="BS449" s="140"/>
      <c r="BT449" s="140"/>
      <c r="BU449" s="140"/>
    </row>
    <row r="450" spans="15:73"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0"/>
      <c r="BR450" s="140"/>
      <c r="BS450" s="140"/>
      <c r="BT450" s="140"/>
      <c r="BU450" s="140"/>
    </row>
    <row r="451" spans="15:73"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  <c r="BQ451" s="140"/>
      <c r="BR451" s="140"/>
      <c r="BS451" s="140"/>
      <c r="BT451" s="140"/>
      <c r="BU451" s="140"/>
    </row>
    <row r="452" spans="15:73"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  <c r="BQ452" s="140"/>
      <c r="BR452" s="140"/>
      <c r="BS452" s="140"/>
      <c r="BT452" s="140"/>
      <c r="BU452" s="140"/>
    </row>
    <row r="453" spans="15:73"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  <c r="BQ453" s="140"/>
      <c r="BR453" s="140"/>
      <c r="BS453" s="140"/>
      <c r="BT453" s="140"/>
      <c r="BU453" s="140"/>
    </row>
    <row r="454" spans="15:73"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  <c r="BQ454" s="140"/>
      <c r="BR454" s="140"/>
      <c r="BS454" s="140"/>
      <c r="BT454" s="140"/>
      <c r="BU454" s="140"/>
    </row>
    <row r="455" spans="15:73"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  <c r="BS455" s="140"/>
      <c r="BT455" s="140"/>
      <c r="BU455" s="140"/>
    </row>
    <row r="456" spans="15:73"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</row>
    <row r="457" spans="15:73"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</row>
    <row r="458" spans="15:73"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</row>
    <row r="459" spans="15:73"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</row>
    <row r="460" spans="15:73"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</row>
    <row r="461" spans="15:73"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  <c r="BS461" s="140"/>
      <c r="BT461" s="140"/>
      <c r="BU461" s="140"/>
    </row>
    <row r="462" spans="15:73"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</row>
    <row r="463" spans="15:73"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  <c r="BS463" s="140"/>
      <c r="BT463" s="140"/>
      <c r="BU463" s="140"/>
    </row>
    <row r="464" spans="15:73"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  <c r="BS464" s="140"/>
      <c r="BT464" s="140"/>
      <c r="BU464" s="140"/>
    </row>
    <row r="465" spans="15:73"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0"/>
      <c r="BR465" s="140"/>
      <c r="BS465" s="140"/>
      <c r="BT465" s="140"/>
      <c r="BU465" s="140"/>
    </row>
    <row r="466" spans="15:73"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0"/>
      <c r="BR466" s="140"/>
      <c r="BS466" s="140"/>
      <c r="BT466" s="140"/>
      <c r="BU466" s="140"/>
    </row>
    <row r="467" spans="15:73"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0"/>
      <c r="BR467" s="140"/>
      <c r="BS467" s="140"/>
      <c r="BT467" s="140"/>
      <c r="BU467" s="140"/>
    </row>
    <row r="468" spans="15:73"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</row>
    <row r="469" spans="15:73"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0"/>
      <c r="BR469" s="140"/>
      <c r="BS469" s="140"/>
      <c r="BT469" s="140"/>
      <c r="BU469" s="140"/>
    </row>
    <row r="470" spans="15:73"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0"/>
      <c r="BR470" s="140"/>
      <c r="BS470" s="140"/>
      <c r="BT470" s="140"/>
      <c r="BU470" s="140"/>
    </row>
    <row r="471" spans="15:73"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0"/>
      <c r="BR471" s="140"/>
      <c r="BS471" s="140"/>
      <c r="BT471" s="140"/>
      <c r="BU471" s="140"/>
    </row>
    <row r="472" spans="15:73"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  <c r="BQ472" s="140"/>
      <c r="BR472" s="140"/>
      <c r="BS472" s="140"/>
      <c r="BT472" s="140"/>
      <c r="BU472" s="140"/>
    </row>
    <row r="473" spans="15:73"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  <c r="BQ473" s="140"/>
      <c r="BR473" s="140"/>
      <c r="BS473" s="140"/>
      <c r="BT473" s="140"/>
      <c r="BU473" s="140"/>
    </row>
    <row r="474" spans="15:73"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  <c r="BQ474" s="140"/>
      <c r="BR474" s="140"/>
      <c r="BS474" s="140"/>
      <c r="BT474" s="140"/>
      <c r="BU474" s="140"/>
    </row>
    <row r="475" spans="15:73"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  <c r="BQ475" s="140"/>
      <c r="BR475" s="140"/>
      <c r="BS475" s="140"/>
      <c r="BT475" s="140"/>
      <c r="BU475" s="140"/>
    </row>
    <row r="476" spans="15:73"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  <c r="BQ476" s="140"/>
      <c r="BR476" s="140"/>
      <c r="BS476" s="140"/>
      <c r="BT476" s="140"/>
      <c r="BU476" s="140"/>
    </row>
    <row r="477" spans="15:73"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  <c r="BQ477" s="140"/>
      <c r="BR477" s="140"/>
      <c r="BS477" s="140"/>
      <c r="BT477" s="140"/>
      <c r="BU477" s="140"/>
    </row>
    <row r="478" spans="15:73"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  <c r="BQ478" s="140"/>
      <c r="BR478" s="140"/>
      <c r="BS478" s="140"/>
      <c r="BT478" s="140"/>
      <c r="BU478" s="140"/>
    </row>
    <row r="479" spans="15:73"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  <c r="BQ479" s="140"/>
      <c r="BR479" s="140"/>
      <c r="BS479" s="140"/>
      <c r="BT479" s="140"/>
      <c r="BU479" s="140"/>
    </row>
    <row r="480" spans="15:73"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  <c r="BQ480" s="140"/>
      <c r="BR480" s="140"/>
      <c r="BS480" s="140"/>
      <c r="BT480" s="140"/>
      <c r="BU480" s="140"/>
    </row>
    <row r="481" spans="15:73"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  <c r="BQ481" s="140"/>
      <c r="BR481" s="140"/>
      <c r="BS481" s="140"/>
      <c r="BT481" s="140"/>
      <c r="BU481" s="140"/>
    </row>
    <row r="482" spans="15:73"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  <c r="BQ482" s="140"/>
      <c r="BR482" s="140"/>
      <c r="BS482" s="140"/>
      <c r="BT482" s="140"/>
      <c r="BU482" s="140"/>
    </row>
    <row r="483" spans="15:73"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  <c r="BQ483" s="140"/>
      <c r="BR483" s="140"/>
      <c r="BS483" s="140"/>
      <c r="BT483" s="140"/>
      <c r="BU483" s="140"/>
    </row>
    <row r="484" spans="15:73"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  <c r="BQ484" s="140"/>
      <c r="BR484" s="140"/>
      <c r="BS484" s="140"/>
      <c r="BT484" s="140"/>
      <c r="BU484" s="140"/>
    </row>
    <row r="485" spans="15:73"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  <c r="BQ485" s="140"/>
      <c r="BR485" s="140"/>
      <c r="BS485" s="140"/>
      <c r="BT485" s="140"/>
      <c r="BU485" s="140"/>
    </row>
    <row r="486" spans="15:73"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  <c r="BQ486" s="140"/>
      <c r="BR486" s="140"/>
      <c r="BS486" s="140"/>
      <c r="BT486" s="140"/>
      <c r="BU486" s="140"/>
    </row>
    <row r="487" spans="15:73"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  <c r="BQ487" s="140"/>
      <c r="BR487" s="140"/>
      <c r="BS487" s="140"/>
      <c r="BT487" s="140"/>
      <c r="BU487" s="140"/>
    </row>
    <row r="488" spans="15:73"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  <c r="BQ488" s="140"/>
      <c r="BR488" s="140"/>
      <c r="BS488" s="140"/>
      <c r="BT488" s="140"/>
      <c r="BU488" s="140"/>
    </row>
    <row r="489" spans="15:73"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  <c r="BQ489" s="140"/>
      <c r="BR489" s="140"/>
      <c r="BS489" s="140"/>
      <c r="BT489" s="140"/>
      <c r="BU489" s="140"/>
    </row>
    <row r="490" spans="15:73"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  <c r="BQ490" s="140"/>
      <c r="BR490" s="140"/>
      <c r="BS490" s="140"/>
      <c r="BT490" s="140"/>
      <c r="BU490" s="140"/>
    </row>
    <row r="491" spans="15:73"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0"/>
      <c r="BR491" s="140"/>
      <c r="BS491" s="140"/>
      <c r="BT491" s="140"/>
      <c r="BU491" s="140"/>
    </row>
    <row r="492" spans="15:73"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  <c r="BQ492" s="140"/>
      <c r="BR492" s="140"/>
      <c r="BS492" s="140"/>
      <c r="BT492" s="140"/>
      <c r="BU492" s="140"/>
    </row>
    <row r="493" spans="15:73"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  <c r="BQ493" s="140"/>
      <c r="BR493" s="140"/>
      <c r="BS493" s="140"/>
      <c r="BT493" s="140"/>
      <c r="BU493" s="140"/>
    </row>
    <row r="494" spans="15:73"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  <c r="BQ494" s="140"/>
      <c r="BR494" s="140"/>
      <c r="BS494" s="140"/>
      <c r="BT494" s="140"/>
      <c r="BU494" s="140"/>
    </row>
    <row r="495" spans="15:73"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</row>
    <row r="496" spans="15:73"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  <c r="BQ496" s="140"/>
      <c r="BR496" s="140"/>
      <c r="BS496" s="140"/>
      <c r="BT496" s="140"/>
      <c r="BU496" s="140"/>
    </row>
    <row r="497" spans="15:73"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  <c r="BQ497" s="140"/>
      <c r="BR497" s="140"/>
      <c r="BS497" s="140"/>
      <c r="BT497" s="140"/>
      <c r="BU497" s="140"/>
    </row>
    <row r="498" spans="15:73"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  <c r="BQ498" s="140"/>
      <c r="BR498" s="140"/>
      <c r="BS498" s="140"/>
      <c r="BT498" s="140"/>
      <c r="BU498" s="140"/>
    </row>
    <row r="499" spans="15:73"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  <c r="BQ499" s="140"/>
      <c r="BR499" s="140"/>
      <c r="BS499" s="140"/>
      <c r="BT499" s="140"/>
      <c r="BU499" s="140"/>
    </row>
    <row r="500" spans="15:73"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  <c r="BQ500" s="140"/>
      <c r="BR500" s="140"/>
      <c r="BS500" s="140"/>
      <c r="BT500" s="140"/>
      <c r="BU500" s="140"/>
    </row>
    <row r="501" spans="15:73"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  <c r="BQ501" s="140"/>
      <c r="BR501" s="140"/>
      <c r="BS501" s="140"/>
      <c r="BT501" s="140"/>
      <c r="BU501" s="140"/>
    </row>
    <row r="502" spans="15:73"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  <c r="BQ502" s="140"/>
      <c r="BR502" s="140"/>
      <c r="BS502" s="140"/>
      <c r="BT502" s="140"/>
      <c r="BU502" s="140"/>
    </row>
    <row r="503" spans="15:73"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  <c r="BQ503" s="140"/>
      <c r="BR503" s="140"/>
      <c r="BS503" s="140"/>
      <c r="BT503" s="140"/>
      <c r="BU503" s="140"/>
    </row>
    <row r="504" spans="15:73"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  <c r="BQ504" s="140"/>
      <c r="BR504" s="140"/>
      <c r="BS504" s="140"/>
      <c r="BT504" s="140"/>
      <c r="BU504" s="140"/>
    </row>
    <row r="505" spans="15:73"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  <c r="BQ505" s="140"/>
      <c r="BR505" s="140"/>
      <c r="BS505" s="140"/>
      <c r="BT505" s="140"/>
      <c r="BU505" s="140"/>
    </row>
    <row r="506" spans="15:73"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  <c r="BQ506" s="140"/>
      <c r="BR506" s="140"/>
      <c r="BS506" s="140"/>
      <c r="BT506" s="140"/>
      <c r="BU506" s="140"/>
    </row>
    <row r="507" spans="15:73"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  <c r="BQ507" s="140"/>
      <c r="BR507" s="140"/>
      <c r="BS507" s="140"/>
      <c r="BT507" s="140"/>
      <c r="BU507" s="140"/>
    </row>
    <row r="508" spans="15:73"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  <c r="BQ508" s="140"/>
      <c r="BR508" s="140"/>
      <c r="BS508" s="140"/>
      <c r="BT508" s="140"/>
      <c r="BU508" s="140"/>
    </row>
    <row r="509" spans="15:73"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  <c r="BQ509" s="140"/>
      <c r="BR509" s="140"/>
      <c r="BS509" s="140"/>
      <c r="BT509" s="140"/>
      <c r="BU509" s="140"/>
    </row>
    <row r="510" spans="15:73"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  <c r="BQ510" s="140"/>
      <c r="BR510" s="140"/>
      <c r="BS510" s="140"/>
      <c r="BT510" s="140"/>
      <c r="BU510" s="140"/>
    </row>
    <row r="511" spans="15:73"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  <c r="BQ511" s="140"/>
      <c r="BR511" s="140"/>
      <c r="BS511" s="140"/>
      <c r="BT511" s="140"/>
      <c r="BU511" s="140"/>
    </row>
    <row r="512" spans="15:73"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  <c r="BQ512" s="140"/>
      <c r="BR512" s="140"/>
      <c r="BS512" s="140"/>
      <c r="BT512" s="140"/>
      <c r="BU512" s="140"/>
    </row>
    <row r="513" spans="15:73"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  <c r="BQ513" s="140"/>
      <c r="BR513" s="140"/>
      <c r="BS513" s="140"/>
      <c r="BT513" s="140"/>
      <c r="BU513" s="140"/>
    </row>
    <row r="514" spans="15:73"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  <c r="BQ514" s="140"/>
      <c r="BR514" s="140"/>
      <c r="BS514" s="140"/>
      <c r="BT514" s="140"/>
      <c r="BU514" s="140"/>
    </row>
    <row r="515" spans="15:73"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  <c r="BQ515" s="140"/>
      <c r="BR515" s="140"/>
      <c r="BS515" s="140"/>
      <c r="BT515" s="140"/>
      <c r="BU515" s="140"/>
    </row>
    <row r="516" spans="15:73"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  <c r="BQ516" s="140"/>
      <c r="BR516" s="140"/>
      <c r="BS516" s="140"/>
      <c r="BT516" s="140"/>
      <c r="BU516" s="140"/>
    </row>
    <row r="517" spans="15:73"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  <c r="BQ517" s="140"/>
      <c r="BR517" s="140"/>
      <c r="BS517" s="140"/>
      <c r="BT517" s="140"/>
      <c r="BU517" s="140"/>
    </row>
    <row r="518" spans="15:73"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  <c r="BQ518" s="140"/>
      <c r="BR518" s="140"/>
      <c r="BS518" s="140"/>
      <c r="BT518" s="140"/>
      <c r="BU518" s="140"/>
    </row>
    <row r="519" spans="15:73"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  <c r="BQ519" s="140"/>
      <c r="BR519" s="140"/>
      <c r="BS519" s="140"/>
      <c r="BT519" s="140"/>
      <c r="BU519" s="140"/>
    </row>
    <row r="520" spans="15:73"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  <c r="BQ520" s="140"/>
      <c r="BR520" s="140"/>
      <c r="BS520" s="140"/>
      <c r="BT520" s="140"/>
      <c r="BU520" s="140"/>
    </row>
    <row r="521" spans="15:73"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  <c r="BQ521" s="140"/>
      <c r="BR521" s="140"/>
      <c r="BS521" s="140"/>
      <c r="BT521" s="140"/>
      <c r="BU521" s="140"/>
    </row>
    <row r="522" spans="15:73"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  <c r="BQ522" s="140"/>
      <c r="BR522" s="140"/>
      <c r="BS522" s="140"/>
      <c r="BT522" s="140"/>
      <c r="BU522" s="140"/>
    </row>
    <row r="523" spans="15:73"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  <c r="BQ523" s="140"/>
      <c r="BR523" s="140"/>
      <c r="BS523" s="140"/>
      <c r="BT523" s="140"/>
      <c r="BU523" s="140"/>
    </row>
    <row r="524" spans="15:73"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  <c r="BQ524" s="140"/>
      <c r="BR524" s="140"/>
      <c r="BS524" s="140"/>
      <c r="BT524" s="140"/>
      <c r="BU524" s="140"/>
    </row>
    <row r="525" spans="15:73"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  <c r="BQ525" s="140"/>
      <c r="BR525" s="140"/>
      <c r="BS525" s="140"/>
      <c r="BT525" s="140"/>
      <c r="BU525" s="140"/>
    </row>
    <row r="526" spans="15:73"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  <c r="BQ526" s="140"/>
      <c r="BR526" s="140"/>
      <c r="BS526" s="140"/>
      <c r="BT526" s="140"/>
      <c r="BU526" s="140"/>
    </row>
    <row r="527" spans="15:73"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  <c r="BQ527" s="140"/>
      <c r="BR527" s="140"/>
      <c r="BS527" s="140"/>
      <c r="BT527" s="140"/>
      <c r="BU527" s="140"/>
    </row>
    <row r="528" spans="15:73"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  <c r="BQ528" s="140"/>
      <c r="BR528" s="140"/>
      <c r="BS528" s="140"/>
      <c r="BT528" s="140"/>
      <c r="BU528" s="140"/>
    </row>
    <row r="529" spans="15:73"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  <c r="BQ529" s="140"/>
      <c r="BR529" s="140"/>
      <c r="BS529" s="140"/>
      <c r="BT529" s="140"/>
      <c r="BU529" s="140"/>
    </row>
    <row r="530" spans="15:73"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  <c r="BQ530" s="140"/>
      <c r="BR530" s="140"/>
      <c r="BS530" s="140"/>
      <c r="BT530" s="140"/>
      <c r="BU530" s="140"/>
    </row>
    <row r="531" spans="15:73"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  <c r="BQ531" s="140"/>
      <c r="BR531" s="140"/>
      <c r="BS531" s="140"/>
      <c r="BT531" s="140"/>
      <c r="BU531" s="140"/>
    </row>
    <row r="532" spans="15:73"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  <c r="BQ532" s="140"/>
      <c r="BR532" s="140"/>
      <c r="BS532" s="140"/>
      <c r="BT532" s="140"/>
      <c r="BU532" s="140"/>
    </row>
    <row r="533" spans="15:73"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  <c r="BQ533" s="140"/>
      <c r="BR533" s="140"/>
      <c r="BS533" s="140"/>
      <c r="BT533" s="140"/>
      <c r="BU533" s="140"/>
    </row>
    <row r="534" spans="15:73"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  <c r="BQ534" s="140"/>
      <c r="BR534" s="140"/>
      <c r="BS534" s="140"/>
      <c r="BT534" s="140"/>
      <c r="BU534" s="140"/>
    </row>
    <row r="535" spans="15:73"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  <c r="BQ535" s="140"/>
      <c r="BR535" s="140"/>
      <c r="BS535" s="140"/>
      <c r="BT535" s="140"/>
      <c r="BU535" s="140"/>
    </row>
    <row r="536" spans="15:73"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  <c r="BQ536" s="140"/>
      <c r="BR536" s="140"/>
      <c r="BS536" s="140"/>
      <c r="BT536" s="140"/>
      <c r="BU536" s="140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36"/>
  <sheetViews>
    <sheetView showGridLines="0" zoomScale="70" zoomScaleNormal="70" workbookViewId="0"/>
  </sheetViews>
  <sheetFormatPr defaultColWidth="9.109375" defaultRowHeight="13.2"/>
  <cols>
    <col min="1" max="1" width="16" style="18" customWidth="1"/>
    <col min="2" max="2" width="12.33203125" style="18" bestFit="1" customWidth="1"/>
    <col min="3" max="3" width="11.6640625" style="18" bestFit="1" customWidth="1"/>
    <col min="4" max="4" width="8.6640625" style="18" bestFit="1" customWidth="1"/>
    <col min="5" max="5" width="11.5546875" style="18" bestFit="1" customWidth="1"/>
    <col min="6" max="6" width="1.6640625" style="18" customWidth="1"/>
    <col min="7" max="9" width="11.5546875" style="18" bestFit="1" customWidth="1"/>
    <col min="10" max="10" width="10.6640625" style="18" customWidth="1"/>
    <col min="11" max="16384" width="9.109375" style="18"/>
  </cols>
  <sheetData>
    <row r="1" spans="1:10" ht="13.8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3.8">
      <c r="A2" s="19"/>
      <c r="B2" s="179" t="s">
        <v>58</v>
      </c>
      <c r="C2" s="179"/>
      <c r="D2" s="179"/>
      <c r="E2" s="179"/>
      <c r="F2" s="23"/>
      <c r="G2" s="179" t="s">
        <v>59</v>
      </c>
      <c r="H2" s="179"/>
      <c r="I2" s="179"/>
      <c r="J2" s="19"/>
    </row>
    <row r="3" spans="1:10" ht="13.8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60</v>
      </c>
    </row>
    <row r="4" spans="1:10" ht="13.8">
      <c r="A4" s="26" t="s">
        <v>61</v>
      </c>
      <c r="B4" s="28" t="s">
        <v>62</v>
      </c>
      <c r="C4" s="28" t="s">
        <v>26</v>
      </c>
      <c r="D4" s="28" t="s">
        <v>27</v>
      </c>
      <c r="E4" s="30" t="s">
        <v>63</v>
      </c>
      <c r="F4" s="29"/>
      <c r="G4" s="28" t="s">
        <v>64</v>
      </c>
      <c r="H4" s="28" t="s">
        <v>65</v>
      </c>
      <c r="I4" s="28" t="s">
        <v>63</v>
      </c>
      <c r="J4" s="28" t="s">
        <v>66</v>
      </c>
    </row>
    <row r="5" spans="1:10" ht="14.4">
      <c r="A5" s="19"/>
      <c r="B5" s="180" t="s">
        <v>67</v>
      </c>
      <c r="C5" s="180"/>
      <c r="D5" s="180"/>
      <c r="E5" s="180"/>
      <c r="F5" s="180"/>
      <c r="G5" s="180"/>
      <c r="H5" s="180"/>
      <c r="I5" s="180"/>
      <c r="J5" s="180"/>
    </row>
    <row r="6" spans="1:10" ht="13.8">
      <c r="A6" s="19" t="s">
        <v>34</v>
      </c>
      <c r="B6" s="52">
        <v>402.01499999999999</v>
      </c>
      <c r="C6" s="53">
        <v>51100.43</v>
      </c>
      <c r="D6" s="53">
        <v>639.45289700599983</v>
      </c>
      <c r="E6" s="37">
        <f>SUM(B6:D6)</f>
        <v>52141.897897005998</v>
      </c>
      <c r="F6" s="53"/>
      <c r="G6" s="53">
        <f>I6-H6</f>
        <v>37966.877728954991</v>
      </c>
      <c r="H6" s="53">
        <v>13833.684168051001</v>
      </c>
      <c r="I6" s="53">
        <f>E6-J6</f>
        <v>51800.561897005995</v>
      </c>
      <c r="J6" s="53">
        <v>341.33600000000001</v>
      </c>
    </row>
    <row r="7" spans="1:10" ht="16.2">
      <c r="A7" s="19" t="s">
        <v>35</v>
      </c>
      <c r="B7" s="52">
        <f>J6</f>
        <v>341.33600000000001</v>
      </c>
      <c r="C7" s="53">
        <f>C23</f>
        <v>50564.716999999997</v>
      </c>
      <c r="D7" s="53">
        <f>D23</f>
        <v>782.87279764099992</v>
      </c>
      <c r="E7" s="37">
        <f>E23</f>
        <v>51688.925797641001</v>
      </c>
      <c r="F7" s="53"/>
      <c r="G7" s="53">
        <f>G23</f>
        <v>37580.432300251006</v>
      </c>
      <c r="H7" s="53">
        <f>H23</f>
        <v>13767.707497390002</v>
      </c>
      <c r="I7" s="53">
        <f>I23</f>
        <v>51348.139797640993</v>
      </c>
      <c r="J7" s="53">
        <f>J22</f>
        <v>340.786</v>
      </c>
    </row>
    <row r="8" spans="1:10" ht="16.2">
      <c r="A8" s="19" t="s">
        <v>36</v>
      </c>
      <c r="B8" s="52">
        <f>J7</f>
        <v>340.786</v>
      </c>
      <c r="C8" s="53">
        <v>51909.214</v>
      </c>
      <c r="D8" s="53">
        <v>450</v>
      </c>
      <c r="E8" s="37">
        <f>SUM(B8:D8)</f>
        <v>52700</v>
      </c>
      <c r="F8" s="53"/>
      <c r="G8" s="53">
        <f>I8-H8</f>
        <v>37900</v>
      </c>
      <c r="H8" s="53">
        <v>14400</v>
      </c>
      <c r="I8" s="53">
        <f>E8-J8</f>
        <v>52300</v>
      </c>
      <c r="J8" s="53">
        <v>400</v>
      </c>
    </row>
    <row r="9" spans="1:10" ht="13.8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0" ht="13.8">
      <c r="A10" s="55" t="s">
        <v>37</v>
      </c>
      <c r="B10" s="56"/>
      <c r="C10" s="7"/>
      <c r="D10" s="7"/>
      <c r="E10" s="7"/>
      <c r="F10" s="7"/>
      <c r="G10" s="7"/>
      <c r="H10" s="7"/>
      <c r="I10" s="7"/>
      <c r="J10" s="7"/>
    </row>
    <row r="11" spans="1:10" ht="13.8">
      <c r="A11" s="23" t="s">
        <v>39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</row>
    <row r="12" spans="1:10" ht="13.8">
      <c r="A12" s="23" t="s">
        <v>40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</row>
    <row r="13" spans="1:10" ht="13.8">
      <c r="A13" s="23" t="s">
        <v>42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</row>
    <row r="14" spans="1:10" ht="13.8">
      <c r="A14" s="23" t="s">
        <v>43</v>
      </c>
      <c r="B14" s="56">
        <f t="shared" si="3"/>
        <v>359.39299999999997</v>
      </c>
      <c r="C14" s="7">
        <v>4665.6540000000005</v>
      </c>
      <c r="D14" s="7">
        <f>(62004.8*1.10231)/1000</f>
        <v>68.348511087999995</v>
      </c>
      <c r="E14" s="7">
        <f t="shared" si="0"/>
        <v>5093.3955110880006</v>
      </c>
      <c r="F14" s="6"/>
      <c r="G14" s="5">
        <f t="shared" si="1"/>
        <v>3080.2835676670006</v>
      </c>
      <c r="H14" s="7">
        <f>(1322049.1*1.10231)/1000</f>
        <v>1457.3079434209999</v>
      </c>
      <c r="I14" s="6">
        <f t="shared" si="2"/>
        <v>4537.5915110880005</v>
      </c>
      <c r="J14" s="6">
        <v>555.80399999999997</v>
      </c>
    </row>
    <row r="15" spans="1:10" ht="13.8">
      <c r="A15" s="23" t="s">
        <v>44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</row>
    <row r="16" spans="1:10" ht="13.8">
      <c r="A16" s="23" t="s">
        <v>46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</row>
    <row r="17" spans="1:10" ht="13.8">
      <c r="A17" s="23" t="s">
        <v>47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</row>
    <row r="18" spans="1:10" ht="13.8">
      <c r="A18" s="23" t="s">
        <v>48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</row>
    <row r="19" spans="1:10" ht="13.8">
      <c r="A19" s="23" t="s">
        <v>50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</row>
    <row r="20" spans="1:10" ht="13.8">
      <c r="A20" s="23" t="s">
        <v>51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</row>
    <row r="21" spans="1:10" ht="13.8">
      <c r="A21" s="23" t="s">
        <v>52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</row>
    <row r="22" spans="1:10" ht="13.8">
      <c r="A22" s="23" t="s">
        <v>38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</row>
    <row r="23" spans="1:10" ht="13.8">
      <c r="A23" s="23" t="s">
        <v>28</v>
      </c>
      <c r="B23" s="56"/>
      <c r="C23" s="7">
        <f>SUM(C11:C22)</f>
        <v>50564.716999999997</v>
      </c>
      <c r="D23" s="7">
        <f>SUM(D11:D22)</f>
        <v>782.87279764099992</v>
      </c>
      <c r="E23" s="7">
        <f>B11+C23+D23</f>
        <v>51688.925797641001</v>
      </c>
      <c r="F23" s="7"/>
      <c r="G23" s="7">
        <f>SUM(G11:G22)</f>
        <v>37580.432300251006</v>
      </c>
      <c r="H23" s="7">
        <f>SUM(H11:H22)</f>
        <v>13767.707497390002</v>
      </c>
      <c r="I23" s="7">
        <f>SUM(I11:I22)</f>
        <v>51348.139797640993</v>
      </c>
      <c r="J23" s="7"/>
    </row>
    <row r="24" spans="1:10" ht="13.8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0" ht="13.8">
      <c r="A25" s="55" t="s">
        <v>54</v>
      </c>
      <c r="B25" s="56"/>
      <c r="C25" s="7"/>
      <c r="D25" s="7"/>
      <c r="E25" s="7"/>
      <c r="F25" s="7"/>
      <c r="G25" s="7"/>
      <c r="H25" s="7"/>
      <c r="I25" s="7"/>
      <c r="J25" s="7"/>
    </row>
    <row r="26" spans="1:10" ht="13.8">
      <c r="A26" s="23" t="s">
        <v>39</v>
      </c>
      <c r="B26" s="56">
        <f>J22</f>
        <v>340.786</v>
      </c>
      <c r="C26" s="7">
        <v>4591.6390000000001</v>
      </c>
      <c r="D26" s="7">
        <f>(56516.5*1.10231)/1000</f>
        <v>62.298703114999995</v>
      </c>
      <c r="E26" s="7">
        <f>SUM(B26:D26)</f>
        <v>4994.7237031149998</v>
      </c>
      <c r="F26" s="7"/>
      <c r="G26" s="7">
        <f t="shared" ref="G26:G29" si="6">I26-H26</f>
        <v>3492.8933177700001</v>
      </c>
      <c r="H26" s="7">
        <f>(989149.5*1.10231)/1000</f>
        <v>1090.3493853449997</v>
      </c>
      <c r="I26" s="6">
        <f>E26-J26</f>
        <v>4583.242703115</v>
      </c>
      <c r="J26" s="7">
        <v>411.48099999999999</v>
      </c>
    </row>
    <row r="27" spans="1:10" ht="13.8">
      <c r="A27" s="23" t="s">
        <v>40</v>
      </c>
      <c r="B27" s="56">
        <f>J26</f>
        <v>411.48099999999999</v>
      </c>
      <c r="C27" s="7">
        <v>4456.7700000000004</v>
      </c>
      <c r="D27" s="7">
        <f>(33708.1*1.10231)/1000</f>
        <v>37.156775710999995</v>
      </c>
      <c r="E27" s="7">
        <f>SUM(B27:D27)</f>
        <v>4905.4077757109999</v>
      </c>
      <c r="F27" s="7"/>
      <c r="G27" s="7">
        <f t="shared" si="6"/>
        <v>3203.6702179980002</v>
      </c>
      <c r="H27" s="7">
        <f>(1203042.3*1.10231)/1000</f>
        <v>1326.1255577129998</v>
      </c>
      <c r="I27" s="6">
        <f>E27-J27</f>
        <v>4529.7957757109998</v>
      </c>
      <c r="J27" s="7">
        <v>375.61200000000002</v>
      </c>
    </row>
    <row r="28" spans="1:10" ht="13.8">
      <c r="A28" s="23" t="s">
        <v>42</v>
      </c>
      <c r="B28" s="56">
        <f>J27</f>
        <v>375.61200000000002</v>
      </c>
      <c r="C28" s="7">
        <v>4629.5519999999997</v>
      </c>
      <c r="D28" s="7">
        <f>(33713.7*1.10231)/1000</f>
        <v>37.162948646999993</v>
      </c>
      <c r="E28" s="7">
        <f>SUM(B28:D28)</f>
        <v>5042.3269486469999</v>
      </c>
      <c r="F28" s="7"/>
      <c r="G28" s="7">
        <f t="shared" si="6"/>
        <v>3235.8188905589996</v>
      </c>
      <c r="H28" s="7">
        <f>(1265704.8*1.10231)/1000</f>
        <v>1395.1990580879999</v>
      </c>
      <c r="I28" s="6">
        <f>E28-J28</f>
        <v>4631.0179486469997</v>
      </c>
      <c r="J28" s="7">
        <v>411.30900000000003</v>
      </c>
    </row>
    <row r="29" spans="1:10" ht="13.8">
      <c r="A29" s="17" t="s">
        <v>43</v>
      </c>
      <c r="B29" s="57">
        <f>J28</f>
        <v>411.30900000000003</v>
      </c>
      <c r="C29" s="48">
        <v>4533.1530000000002</v>
      </c>
      <c r="D29" s="48">
        <f>(40167*1.10231)/1000</f>
        <v>44.276485770000001</v>
      </c>
      <c r="E29" s="48">
        <f>SUM(B29:D29)</f>
        <v>4988.7384857700008</v>
      </c>
      <c r="F29" s="48"/>
      <c r="G29" s="48">
        <f t="shared" si="6"/>
        <v>3259.9615498900012</v>
      </c>
      <c r="H29" s="48">
        <f>(1177548*1.10231)/1000</f>
        <v>1298.0229358799997</v>
      </c>
      <c r="I29" s="64">
        <f>E29-J29</f>
        <v>4557.9844857700009</v>
      </c>
      <c r="J29" s="48">
        <v>430.75400000000002</v>
      </c>
    </row>
    <row r="30" spans="1:10" ht="16.2">
      <c r="A30" s="58" t="s">
        <v>68</v>
      </c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14.4">
      <c r="A31" s="19" t="s">
        <v>69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13.8">
      <c r="A32" s="25" t="s">
        <v>57</v>
      </c>
      <c r="B32" s="50">
        <f ca="1">NOW()</f>
        <v>44630.680787962963</v>
      </c>
      <c r="C32" s="44"/>
      <c r="D32" s="38"/>
      <c r="E32" s="38"/>
      <c r="F32" s="38"/>
      <c r="G32" s="38"/>
      <c r="H32" s="38"/>
      <c r="I32" s="38"/>
      <c r="J32" s="38"/>
    </row>
    <row r="33" spans="1:10">
      <c r="A33" s="59"/>
      <c r="B33" s="60"/>
      <c r="C33" s="61"/>
      <c r="D33" s="60"/>
      <c r="E33" s="133"/>
      <c r="F33" s="60"/>
      <c r="G33" s="60"/>
      <c r="H33" s="62"/>
      <c r="I33" s="133"/>
      <c r="J33" s="60"/>
    </row>
    <row r="34" spans="1:10">
      <c r="A34" s="59"/>
      <c r="B34" s="60"/>
      <c r="C34" s="60"/>
      <c r="D34" s="60"/>
      <c r="E34" s="60"/>
      <c r="F34" s="60"/>
      <c r="G34" s="60"/>
      <c r="H34" s="60"/>
      <c r="I34" s="60"/>
      <c r="J34" s="60"/>
    </row>
    <row r="35" spans="1:10">
      <c r="A35" s="59"/>
      <c r="B35" s="59"/>
      <c r="C35" s="59"/>
      <c r="D35" s="59"/>
      <c r="E35" s="59"/>
      <c r="F35" s="59"/>
      <c r="G35" s="59"/>
      <c r="H35" s="59"/>
      <c r="I35" s="59"/>
      <c r="J35" s="59"/>
    </row>
    <row r="36" spans="1:10">
      <c r="A36" s="59"/>
      <c r="B36" s="59"/>
      <c r="C36" s="59"/>
      <c r="D36" s="59"/>
      <c r="E36" s="59"/>
      <c r="F36" s="59"/>
      <c r="G36" s="59"/>
      <c r="H36" s="59"/>
      <c r="I36" s="59"/>
      <c r="J36" s="59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3"/>
  <sheetViews>
    <sheetView showGridLines="0" zoomScale="70" zoomScaleNormal="70" workbookViewId="0"/>
  </sheetViews>
  <sheetFormatPr defaultColWidth="9.109375" defaultRowHeight="13.2"/>
  <cols>
    <col min="1" max="1" width="15.44140625" style="18" customWidth="1"/>
    <col min="2" max="2" width="12.33203125" style="18" bestFit="1" customWidth="1"/>
    <col min="3" max="3" width="12.109375" style="18" bestFit="1" customWidth="1"/>
    <col min="4" max="4" width="11" style="18" bestFit="1" customWidth="1"/>
    <col min="5" max="5" width="11.33203125" style="18" bestFit="1" customWidth="1"/>
    <col min="6" max="6" width="3.6640625" style="18" customWidth="1"/>
    <col min="7" max="7" width="11.5546875" style="18" bestFit="1" customWidth="1"/>
    <col min="8" max="8" width="10.6640625" style="18" customWidth="1"/>
    <col min="9" max="9" width="12.6640625" style="18" customWidth="1"/>
    <col min="10" max="10" width="9.6640625" style="18" bestFit="1" customWidth="1"/>
    <col min="11" max="11" width="11.5546875" style="18" bestFit="1" customWidth="1"/>
    <col min="12" max="12" width="12.5546875" style="18" bestFit="1" customWidth="1"/>
    <col min="13" max="16384" width="9.109375" style="18"/>
  </cols>
  <sheetData>
    <row r="1" spans="1:13" ht="13.8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3.8">
      <c r="A2" s="19"/>
      <c r="B2" s="179" t="s">
        <v>58</v>
      </c>
      <c r="C2" s="179"/>
      <c r="D2" s="179"/>
      <c r="E2" s="179"/>
      <c r="F2" s="23"/>
      <c r="G2" s="179" t="s">
        <v>59</v>
      </c>
      <c r="H2" s="179"/>
      <c r="I2" s="179"/>
      <c r="J2" s="153"/>
      <c r="K2" s="153"/>
      <c r="L2" s="19"/>
    </row>
    <row r="3" spans="1:13" ht="13.8">
      <c r="A3" s="19" t="s">
        <v>17</v>
      </c>
      <c r="B3" s="21" t="s">
        <v>70</v>
      </c>
      <c r="C3" s="40" t="s">
        <v>26</v>
      </c>
      <c r="D3" s="40" t="s">
        <v>71</v>
      </c>
      <c r="E3" s="40" t="s">
        <v>63</v>
      </c>
      <c r="F3" s="40"/>
      <c r="G3" s="153" t="s">
        <v>64</v>
      </c>
      <c r="H3" s="153"/>
      <c r="I3" s="153"/>
      <c r="J3" s="40" t="s">
        <v>72</v>
      </c>
      <c r="K3" s="40" t="s">
        <v>63</v>
      </c>
      <c r="L3" s="40" t="s">
        <v>60</v>
      </c>
    </row>
    <row r="4" spans="1:13" ht="16.2">
      <c r="A4" s="26" t="s">
        <v>61</v>
      </c>
      <c r="B4" s="28" t="s">
        <v>62</v>
      </c>
      <c r="C4" s="29"/>
      <c r="D4" s="29"/>
      <c r="E4" s="29"/>
      <c r="F4" s="29"/>
      <c r="G4" s="28" t="s">
        <v>28</v>
      </c>
      <c r="H4" s="28" t="s">
        <v>73</v>
      </c>
      <c r="I4" s="28" t="s">
        <v>74</v>
      </c>
      <c r="J4" s="29"/>
      <c r="K4" s="29"/>
      <c r="L4" s="40" t="s">
        <v>66</v>
      </c>
    </row>
    <row r="5" spans="1:13" ht="14.4">
      <c r="A5" s="19"/>
      <c r="B5" s="181" t="s">
        <v>75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3" ht="13.8">
      <c r="A6" s="19" t="s">
        <v>34</v>
      </c>
      <c r="B6" s="54">
        <v>1775.316</v>
      </c>
      <c r="C6" s="54">
        <v>24911.120999999996</v>
      </c>
      <c r="D6" s="54">
        <v>319.89</v>
      </c>
      <c r="E6" s="54">
        <f>SUM(B6:D6)</f>
        <v>27006.326999999994</v>
      </c>
      <c r="F6" s="54"/>
      <c r="G6" s="54">
        <f>K6-J6</f>
        <v>22316.961999999996</v>
      </c>
      <c r="H6" s="54">
        <v>8657.8000000000011</v>
      </c>
      <c r="I6" s="37">
        <f>G6-H6</f>
        <v>13659.161999999995</v>
      </c>
      <c r="J6" s="54">
        <v>2836.69</v>
      </c>
      <c r="K6" s="54">
        <f>E6-L6</f>
        <v>25153.651999999995</v>
      </c>
      <c r="L6" s="54">
        <v>1852.675</v>
      </c>
      <c r="M6" s="124"/>
    </row>
    <row r="7" spans="1:13" ht="16.2">
      <c r="A7" s="19" t="s">
        <v>35</v>
      </c>
      <c r="B7" s="54">
        <f>L6</f>
        <v>1852.675</v>
      </c>
      <c r="C7" s="54">
        <f>C23</f>
        <v>25022.667000000001</v>
      </c>
      <c r="D7" s="54">
        <f>D23</f>
        <v>301.9644297936</v>
      </c>
      <c r="E7" s="54">
        <f>E23</f>
        <v>27177.3064297936</v>
      </c>
      <c r="F7" s="54"/>
      <c r="G7" s="54">
        <f>G23</f>
        <v>23322.575127803797</v>
      </c>
      <c r="H7" s="54">
        <f t="shared" ref="H7:J7" si="0">H23</f>
        <v>8849.5114432999999</v>
      </c>
      <c r="I7" s="37">
        <f t="shared" si="0"/>
        <v>14473.063684503799</v>
      </c>
      <c r="J7" s="54">
        <f t="shared" si="0"/>
        <v>1723.4983019897998</v>
      </c>
      <c r="K7" s="54">
        <f>E7-L7</f>
        <v>25046.0734297936</v>
      </c>
      <c r="L7" s="54">
        <f>L22</f>
        <v>2131.2330000000002</v>
      </c>
      <c r="M7" s="122"/>
    </row>
    <row r="8" spans="1:13" ht="16.2">
      <c r="A8" s="19" t="s">
        <v>36</v>
      </c>
      <c r="B8" s="54">
        <f>L7</f>
        <v>2131.2330000000002</v>
      </c>
      <c r="C8" s="54">
        <v>26205</v>
      </c>
      <c r="D8" s="54">
        <v>450</v>
      </c>
      <c r="E8" s="54">
        <f>SUM(B8:D8)</f>
        <v>28786.233</v>
      </c>
      <c r="F8" s="54"/>
      <c r="G8" s="54">
        <f>K8-J8</f>
        <v>25085</v>
      </c>
      <c r="H8" s="54">
        <v>10700</v>
      </c>
      <c r="I8" s="37">
        <f>G8-H8</f>
        <v>14385</v>
      </c>
      <c r="J8" s="54">
        <v>1625</v>
      </c>
      <c r="K8" s="54">
        <f>E8-L8</f>
        <v>26710</v>
      </c>
      <c r="L8" s="54">
        <v>2076.2330000000002</v>
      </c>
    </row>
    <row r="9" spans="1:13" ht="13.8">
      <c r="A9" s="19"/>
      <c r="B9" s="54"/>
      <c r="C9" s="54"/>
      <c r="D9" s="54"/>
      <c r="E9" s="54"/>
      <c r="F9" s="54"/>
      <c r="G9" s="54"/>
      <c r="H9" s="54"/>
      <c r="I9" s="123"/>
      <c r="J9" s="54"/>
      <c r="K9" s="54"/>
      <c r="L9" s="54"/>
    </row>
    <row r="10" spans="1:13" ht="13.8">
      <c r="A10" s="41" t="s">
        <v>37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3.8">
      <c r="A11" s="23" t="s">
        <v>39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3.8">
      <c r="A12" s="23" t="s">
        <v>40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3.8">
      <c r="A13" s="23" t="s">
        <v>42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3.8">
      <c r="A14" s="23" t="s">
        <v>43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3.8">
      <c r="A15" s="23" t="s">
        <v>44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3.8">
      <c r="A16" s="23" t="s">
        <v>46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3.8">
      <c r="A17" s="23" t="s">
        <v>47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3.8">
      <c r="A18" s="23" t="s">
        <v>48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3.8">
      <c r="A19" s="23" t="s">
        <v>50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3.8">
      <c r="A20" s="23" t="s">
        <v>51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3.8">
      <c r="A21" s="23" t="s">
        <v>52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3.8">
      <c r="A22" s="23" t="s">
        <v>38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3.8">
      <c r="A23" s="23" t="s">
        <v>28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3.8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8">
      <c r="A25" s="41" t="s">
        <v>54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8">
      <c r="A26" s="23" t="s">
        <v>39</v>
      </c>
      <c r="B26" s="6">
        <f>L22</f>
        <v>2131.2330000000002</v>
      </c>
      <c r="C26" s="7">
        <v>2347.58</v>
      </c>
      <c r="D26" s="7">
        <f>(15994.4*2204.622)/1000000</f>
        <v>35.261606116799996</v>
      </c>
      <c r="E26" s="7">
        <f t="shared" ref="E26:E29" si="9">SUM(B26:D26)</f>
        <v>4514.0746061168002</v>
      </c>
      <c r="F26" s="6"/>
      <c r="G26" s="6">
        <f>K26-J26</f>
        <v>2070.5737418166</v>
      </c>
      <c r="H26" s="7">
        <v>832.42700000000002</v>
      </c>
      <c r="I26" s="7">
        <f t="shared" ref="I26:I28" si="10">G26-H26</f>
        <v>1238.1467418165998</v>
      </c>
      <c r="J26" s="7">
        <f>(25929.1*2204.622)/1000000</f>
        <v>57.16386430019999</v>
      </c>
      <c r="K26" s="7">
        <f>E26-L26</f>
        <v>2127.7376061168002</v>
      </c>
      <c r="L26" s="6">
        <v>2386.337</v>
      </c>
    </row>
    <row r="27" spans="1:14" ht="13.8">
      <c r="A27" s="23" t="s">
        <v>40</v>
      </c>
      <c r="B27" s="6">
        <f>L26</f>
        <v>2386.337</v>
      </c>
      <c r="C27" s="7">
        <v>2235.37</v>
      </c>
      <c r="D27" s="7">
        <f>(15494*2204.622)/1000000</f>
        <v>34.158413267999997</v>
      </c>
      <c r="E27" s="7">
        <f t="shared" si="9"/>
        <v>4655.8654132680003</v>
      </c>
      <c r="F27" s="6"/>
      <c r="G27" s="6">
        <f>K27-J27</f>
        <v>1996.2802733038002</v>
      </c>
      <c r="H27" s="7">
        <v>818.01271279999992</v>
      </c>
      <c r="I27" s="7">
        <f t="shared" si="10"/>
        <v>1178.2675605038003</v>
      </c>
      <c r="J27" s="7">
        <f>(115041.1*2204.622)/1000000</f>
        <v>253.62213996419999</v>
      </c>
      <c r="K27" s="7">
        <f>E27-L27</f>
        <v>2249.9024132680001</v>
      </c>
      <c r="L27" s="6">
        <v>2405.9630000000002</v>
      </c>
    </row>
    <row r="28" spans="1:14" ht="13.8">
      <c r="A28" s="23" t="s">
        <v>42</v>
      </c>
      <c r="B28" s="6">
        <f>L27</f>
        <v>2405.9630000000002</v>
      </c>
      <c r="C28" s="7">
        <v>2324.183</v>
      </c>
      <c r="D28" s="7">
        <f>(14351.1*2204.622)/1000000</f>
        <v>31.638750784199999</v>
      </c>
      <c r="E28" s="7">
        <f t="shared" si="9"/>
        <v>4761.7847507842007</v>
      </c>
      <c r="F28" s="68"/>
      <c r="G28" s="6">
        <f>K28-J28</f>
        <v>2113.2355269914005</v>
      </c>
      <c r="H28" s="7">
        <v>937.33500000000004</v>
      </c>
      <c r="I28" s="7">
        <f t="shared" si="10"/>
        <v>1175.9005269914005</v>
      </c>
      <c r="J28" s="7">
        <f>(82852.4*2204.622)/1000000</f>
        <v>182.65822379279999</v>
      </c>
      <c r="K28" s="7">
        <f>E28-L28</f>
        <v>2295.8937507842006</v>
      </c>
      <c r="L28" s="6">
        <v>2465.8910000000001</v>
      </c>
    </row>
    <row r="29" spans="1:14" ht="13.8">
      <c r="A29" s="17" t="s">
        <v>43</v>
      </c>
      <c r="B29" s="64">
        <f>L28</f>
        <v>2465.8910000000001</v>
      </c>
      <c r="C29" s="48">
        <v>2277.355</v>
      </c>
      <c r="D29" s="48">
        <f>(7352.332*2204.622)/1000000</f>
        <v>16.209112878503998</v>
      </c>
      <c r="E29" s="48">
        <f t="shared" si="9"/>
        <v>4759.4551128785042</v>
      </c>
      <c r="F29" s="16"/>
      <c r="G29" s="64">
        <f>K29-J29</f>
        <v>1975.5625098170883</v>
      </c>
      <c r="H29" s="48" t="s">
        <v>76</v>
      </c>
      <c r="I29" s="48" t="s">
        <v>76</v>
      </c>
      <c r="J29" s="48">
        <f>(128806.028*2204.622)/1000000</f>
        <v>283.96860306141599</v>
      </c>
      <c r="K29" s="48">
        <f>E29-L29</f>
        <v>2259.5311128785042</v>
      </c>
      <c r="L29" s="64">
        <v>2499.924</v>
      </c>
    </row>
    <row r="30" spans="1:14" ht="16.2">
      <c r="A30" s="58" t="s">
        <v>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4" ht="14.4">
      <c r="A31" s="19" t="s">
        <v>69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4" ht="13.8">
      <c r="A32" s="25" t="s">
        <v>57</v>
      </c>
      <c r="B32" s="50">
        <f ca="1">NOW()</f>
        <v>44630.680787962963</v>
      </c>
      <c r="K32" s="46"/>
    </row>
    <row r="33" spans="5:5">
      <c r="E33" s="46"/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09375" defaultRowHeight="13.2"/>
  <cols>
    <col min="1" max="1" width="15.33203125" style="18" customWidth="1"/>
    <col min="2" max="2" width="13.109375" style="18" customWidth="1"/>
    <col min="3" max="3" width="12.109375" style="18" customWidth="1"/>
    <col min="4" max="4" width="13.44140625" style="18" customWidth="1"/>
    <col min="5" max="5" width="15.33203125" style="18" customWidth="1"/>
    <col min="6" max="6" width="10.5546875" style="18" customWidth="1"/>
    <col min="7" max="7" width="11.6640625" style="18" customWidth="1"/>
    <col min="8" max="8" width="8.6640625" style="18" customWidth="1"/>
    <col min="9" max="9" width="9.6640625" style="18" customWidth="1"/>
    <col min="10" max="11" width="7.6640625" style="18" customWidth="1"/>
    <col min="12" max="12" width="8.5546875" style="18" customWidth="1"/>
    <col min="13" max="13" width="9.5546875" style="18" customWidth="1"/>
    <col min="14" max="15" width="7.5546875" style="18" customWidth="1"/>
    <col min="16" max="18" width="9.109375" style="18"/>
    <col min="19" max="19" width="17.44140625" style="18" bestFit="1" customWidth="1"/>
    <col min="20" max="20" width="9.109375" style="18"/>
    <col min="21" max="21" width="28.33203125" style="18" bestFit="1" customWidth="1"/>
    <col min="22" max="16384" width="9.109375" style="18"/>
  </cols>
  <sheetData>
    <row r="1" spans="1:15" ht="13.8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8">
      <c r="A2" s="19"/>
      <c r="B2" s="179" t="s">
        <v>58</v>
      </c>
      <c r="C2" s="179"/>
      <c r="D2" s="179"/>
      <c r="E2" s="179"/>
      <c r="F2" s="100"/>
      <c r="G2" s="179" t="s">
        <v>59</v>
      </c>
      <c r="H2" s="179"/>
      <c r="I2" s="179"/>
      <c r="J2" s="179"/>
      <c r="K2" s="100"/>
      <c r="L2" s="19"/>
      <c r="M2" s="19"/>
      <c r="N2" s="19"/>
      <c r="O2" s="19"/>
    </row>
    <row r="3" spans="1:15" ht="13.8">
      <c r="A3" s="19" t="s">
        <v>17</v>
      </c>
      <c r="B3" s="25" t="s">
        <v>70</v>
      </c>
      <c r="C3" s="25"/>
      <c r="D3" s="25"/>
      <c r="E3" s="25"/>
      <c r="F3" s="101"/>
      <c r="G3" s="25"/>
      <c r="H3" s="25"/>
      <c r="I3" s="25"/>
      <c r="J3" s="25"/>
      <c r="K3" s="21" t="s">
        <v>60</v>
      </c>
      <c r="L3" s="19"/>
      <c r="M3" s="19"/>
      <c r="N3" s="19"/>
      <c r="O3" s="19"/>
    </row>
    <row r="4" spans="1:15" ht="13.8">
      <c r="A4" s="26" t="s">
        <v>78</v>
      </c>
      <c r="B4" s="28" t="s">
        <v>79</v>
      </c>
      <c r="C4" s="78" t="s">
        <v>26</v>
      </c>
      <c r="D4" s="30" t="s">
        <v>71</v>
      </c>
      <c r="E4" s="28" t="s">
        <v>80</v>
      </c>
      <c r="F4" s="29"/>
      <c r="G4" s="28" t="s">
        <v>81</v>
      </c>
      <c r="H4" s="28" t="s">
        <v>30</v>
      </c>
      <c r="I4" s="28" t="s">
        <v>82</v>
      </c>
      <c r="J4" s="28" t="s">
        <v>83</v>
      </c>
      <c r="K4" s="28" t="s">
        <v>62</v>
      </c>
      <c r="L4" s="19"/>
      <c r="M4" s="19"/>
      <c r="N4" s="19"/>
      <c r="O4" s="19"/>
    </row>
    <row r="5" spans="1:15" ht="14.4">
      <c r="A5" s="19"/>
      <c r="B5" s="184" t="s">
        <v>84</v>
      </c>
      <c r="C5" s="184"/>
      <c r="D5" s="184"/>
      <c r="E5" s="184"/>
      <c r="F5" s="184"/>
      <c r="G5" s="184"/>
      <c r="H5" s="184"/>
      <c r="I5" s="184"/>
      <c r="J5" s="184"/>
      <c r="K5" s="184"/>
      <c r="L5" s="19"/>
      <c r="M5" s="19"/>
      <c r="N5" s="19"/>
      <c r="O5" s="19"/>
    </row>
    <row r="6" spans="1:15" ht="13.8">
      <c r="A6" s="19" t="s">
        <v>34</v>
      </c>
      <c r="B6" s="102">
        <v>476.97603460691334</v>
      </c>
      <c r="C6" s="102">
        <v>5945</v>
      </c>
      <c r="D6" s="103">
        <v>1.0880000000000001</v>
      </c>
      <c r="E6" s="173">
        <f>B6+C6+D6</f>
        <v>6423.0640346069131</v>
      </c>
      <c r="F6" s="104"/>
      <c r="G6" s="102">
        <v>1712.01</v>
      </c>
      <c r="H6" s="105">
        <v>340.64748459156186</v>
      </c>
      <c r="I6" s="102">
        <v>3914.4</v>
      </c>
      <c r="J6" s="106">
        <f>E6-K6</f>
        <v>5967.0571726351982</v>
      </c>
      <c r="K6" s="102">
        <v>456.0068619717149</v>
      </c>
      <c r="L6" s="19"/>
      <c r="M6" s="19"/>
      <c r="N6" s="19"/>
      <c r="O6" s="19"/>
    </row>
    <row r="7" spans="1:15" ht="16.2">
      <c r="A7" s="23" t="s">
        <v>35</v>
      </c>
      <c r="B7" s="106">
        <f>K6</f>
        <v>456.0068619717149</v>
      </c>
      <c r="C7" s="106">
        <v>4435</v>
      </c>
      <c r="D7" s="107">
        <v>1</v>
      </c>
      <c r="E7" s="106">
        <f>B7+C7+D7</f>
        <v>4892.0068619717149</v>
      </c>
      <c r="F7" s="108"/>
      <c r="G7" s="106">
        <v>1562.7429999999999</v>
      </c>
      <c r="H7" s="109">
        <v>282.68453874670092</v>
      </c>
      <c r="I7" s="106">
        <v>2687</v>
      </c>
      <c r="J7" s="106">
        <f>E7-K7</f>
        <v>4532.4953140718344</v>
      </c>
      <c r="K7" s="106">
        <v>359.5115478998805</v>
      </c>
      <c r="L7" s="19"/>
      <c r="M7" s="19"/>
      <c r="N7" s="19"/>
      <c r="O7" s="19"/>
    </row>
    <row r="8" spans="1:15" ht="16.2">
      <c r="A8" s="17" t="s">
        <v>36</v>
      </c>
      <c r="B8" s="110">
        <f>K7</f>
        <v>359.5115478998805</v>
      </c>
      <c r="C8" s="110">
        <v>5377</v>
      </c>
      <c r="D8" s="111">
        <v>30</v>
      </c>
      <c r="E8" s="110">
        <f>B8+C8+D8</f>
        <v>5766.5115478998805</v>
      </c>
      <c r="F8" s="112"/>
      <c r="G8" s="110">
        <v>1475</v>
      </c>
      <c r="H8" s="113">
        <v>250</v>
      </c>
      <c r="I8" s="110">
        <v>3646.2</v>
      </c>
      <c r="J8" s="110">
        <f>E8-K8</f>
        <v>5371.2</v>
      </c>
      <c r="K8" s="110">
        <v>395.31154789988068</v>
      </c>
      <c r="L8" s="19"/>
      <c r="M8" s="19"/>
      <c r="N8" s="19"/>
      <c r="O8" s="19"/>
    </row>
    <row r="9" spans="1:15" ht="16.2">
      <c r="A9" s="58" t="s">
        <v>85</v>
      </c>
      <c r="B9" s="19"/>
      <c r="C9" s="104"/>
      <c r="D9" s="104"/>
      <c r="E9" s="104"/>
      <c r="F9" s="104"/>
      <c r="G9" s="114"/>
      <c r="H9" s="104"/>
      <c r="I9" s="104"/>
      <c r="J9" s="104"/>
      <c r="K9" s="19"/>
      <c r="L9" s="19"/>
      <c r="M9" s="19"/>
      <c r="N9" s="19"/>
      <c r="O9" s="19"/>
    </row>
    <row r="10" spans="1:15" ht="14.4">
      <c r="A10" s="19" t="s">
        <v>86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">
      <c r="A11" s="19" t="s">
        <v>87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8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8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8">
      <c r="A15" s="19"/>
      <c r="B15" s="179" t="s">
        <v>58</v>
      </c>
      <c r="C15" s="179"/>
      <c r="D15" s="179"/>
      <c r="E15" s="179"/>
      <c r="F15" s="19"/>
      <c r="G15" s="179" t="s">
        <v>59</v>
      </c>
      <c r="H15" s="179"/>
      <c r="I15" s="179"/>
      <c r="J15" s="19"/>
      <c r="K15" s="19"/>
      <c r="L15" s="19"/>
      <c r="M15" s="19"/>
      <c r="N15" s="19"/>
      <c r="O15" s="19"/>
    </row>
    <row r="16" spans="1:15" ht="13.8">
      <c r="A16" s="19" t="s">
        <v>17</v>
      </c>
      <c r="B16" s="21" t="s">
        <v>70</v>
      </c>
      <c r="C16" s="25"/>
      <c r="D16" s="25"/>
      <c r="E16" s="25"/>
      <c r="F16" s="25"/>
      <c r="G16" s="25"/>
      <c r="H16" s="25"/>
      <c r="I16" s="25"/>
      <c r="J16" s="21" t="s">
        <v>60</v>
      </c>
      <c r="K16" s="19"/>
      <c r="L16" s="19"/>
      <c r="M16" s="19"/>
      <c r="N16" s="19"/>
      <c r="O16" s="19"/>
    </row>
    <row r="17" spans="1:15" ht="13.8">
      <c r="A17" s="26" t="s">
        <v>61</v>
      </c>
      <c r="B17" s="28" t="s">
        <v>62</v>
      </c>
      <c r="C17" s="78" t="s">
        <v>26</v>
      </c>
      <c r="D17" s="30" t="s">
        <v>71</v>
      </c>
      <c r="E17" s="28" t="s">
        <v>83</v>
      </c>
      <c r="F17" s="29"/>
      <c r="G17" s="106" t="s">
        <v>88</v>
      </c>
      <c r="H17" s="28" t="s">
        <v>30</v>
      </c>
      <c r="I17" s="30" t="s">
        <v>63</v>
      </c>
      <c r="J17" s="28" t="s">
        <v>62</v>
      </c>
      <c r="K17" s="19"/>
      <c r="L17" s="19"/>
      <c r="M17" s="19"/>
      <c r="N17" s="19"/>
      <c r="O17" s="19"/>
    </row>
    <row r="18" spans="1:15" ht="14.4">
      <c r="A18" s="19"/>
      <c r="B18" s="184" t="s">
        <v>89</v>
      </c>
      <c r="C18" s="184"/>
      <c r="D18" s="184"/>
      <c r="E18" s="184"/>
      <c r="F18" s="184"/>
      <c r="G18" s="184"/>
      <c r="H18" s="184"/>
      <c r="I18" s="184"/>
      <c r="J18" s="184"/>
      <c r="K18" s="19"/>
      <c r="L18" s="19"/>
      <c r="M18" s="19"/>
      <c r="N18" s="19"/>
      <c r="O18" s="19"/>
    </row>
    <row r="19" spans="1:15" ht="13.8">
      <c r="A19" s="19" t="s">
        <v>34</v>
      </c>
      <c r="B19" s="102">
        <v>43</v>
      </c>
      <c r="C19" s="105">
        <v>779.976</v>
      </c>
      <c r="D19" s="103">
        <v>0</v>
      </c>
      <c r="E19" s="174">
        <f>B19+C19+D19</f>
        <v>822.976</v>
      </c>
      <c r="F19" s="19"/>
      <c r="G19" s="105">
        <v>688.44474810762813</v>
      </c>
      <c r="H19" s="105">
        <v>109.65925189237197</v>
      </c>
      <c r="I19" s="109">
        <f>SUM(G19:H19)</f>
        <v>798.10400000000004</v>
      </c>
      <c r="J19" s="102">
        <v>24.872</v>
      </c>
      <c r="K19" s="19"/>
      <c r="L19" s="19"/>
      <c r="M19" s="19"/>
      <c r="N19" s="19"/>
      <c r="O19" s="19"/>
    </row>
    <row r="20" spans="1:15" ht="16.2">
      <c r="A20" s="23" t="s">
        <v>35</v>
      </c>
      <c r="B20" s="106">
        <f>J19</f>
        <v>24.872</v>
      </c>
      <c r="C20" s="109">
        <v>648.57100000000003</v>
      </c>
      <c r="D20" s="107">
        <v>0</v>
      </c>
      <c r="E20" s="109">
        <f>B20+C20+D20</f>
        <v>673.44299999999998</v>
      </c>
      <c r="F20" s="108"/>
      <c r="G20" s="109">
        <v>573.37749036166895</v>
      </c>
      <c r="H20" s="109">
        <v>60.759509638330982</v>
      </c>
      <c r="I20" s="109">
        <f>SUM(G20:H20)</f>
        <v>634.13699999999994</v>
      </c>
      <c r="J20" s="106">
        <v>39.305999999999997</v>
      </c>
      <c r="K20" s="19"/>
      <c r="L20" s="19"/>
      <c r="M20" s="19"/>
      <c r="N20" s="19"/>
      <c r="O20" s="19"/>
    </row>
    <row r="21" spans="1:15" ht="16.2">
      <c r="A21" s="17" t="s">
        <v>36</v>
      </c>
      <c r="B21" s="110">
        <f>J20</f>
        <v>39.305999999999997</v>
      </c>
      <c r="C21" s="113">
        <v>650</v>
      </c>
      <c r="D21" s="111">
        <v>0</v>
      </c>
      <c r="E21" s="113">
        <f>B21+C21+D21</f>
        <v>689.30600000000004</v>
      </c>
      <c r="F21" s="112"/>
      <c r="G21" s="113">
        <v>589.30600000000004</v>
      </c>
      <c r="H21" s="113">
        <v>75</v>
      </c>
      <c r="I21" s="113">
        <f>SUM(G21:H21)</f>
        <v>664.30600000000004</v>
      </c>
      <c r="J21" s="110">
        <v>25</v>
      </c>
      <c r="K21" s="19"/>
      <c r="L21" s="19"/>
      <c r="M21" s="19"/>
      <c r="N21" s="19"/>
      <c r="O21" s="19"/>
    </row>
    <row r="22" spans="1:15" ht="16.2">
      <c r="A22" s="58" t="s">
        <v>85</v>
      </c>
      <c r="B22" s="19"/>
      <c r="C22" s="104"/>
      <c r="D22" s="104"/>
      <c r="E22" s="104"/>
      <c r="F22" s="104"/>
      <c r="G22" s="104"/>
      <c r="H22" s="104"/>
      <c r="I22" s="19"/>
      <c r="J22" s="19"/>
      <c r="K22" s="19"/>
      <c r="L22" s="19"/>
      <c r="M22" s="19"/>
      <c r="N22" s="19"/>
      <c r="O22" s="19"/>
    </row>
    <row r="23" spans="1:15" ht="14.4">
      <c r="A23" s="19" t="s">
        <v>90</v>
      </c>
      <c r="B23" s="108"/>
      <c r="C23" s="108"/>
      <c r="D23" s="108"/>
      <c r="E23" s="108"/>
      <c r="F23" s="108"/>
      <c r="G23" s="108"/>
      <c r="H23" s="108"/>
      <c r="I23" s="19"/>
      <c r="J23" s="19"/>
      <c r="K23" s="19"/>
      <c r="L23" s="19"/>
      <c r="M23" s="19"/>
      <c r="N23" s="19"/>
      <c r="O23" s="19"/>
    </row>
    <row r="24" spans="1:15" ht="13.8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8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8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8">
      <c r="A27" s="19"/>
      <c r="B27" s="179" t="s">
        <v>58</v>
      </c>
      <c r="C27" s="179"/>
      <c r="D27" s="179"/>
      <c r="E27" s="179"/>
      <c r="F27" s="19"/>
      <c r="G27" s="179" t="s">
        <v>59</v>
      </c>
      <c r="H27" s="179"/>
      <c r="I27" s="179"/>
      <c r="J27" s="19"/>
      <c r="K27" s="19"/>
      <c r="L27" s="19"/>
      <c r="M27" s="19"/>
      <c r="N27" s="19"/>
      <c r="O27" s="19"/>
    </row>
    <row r="28" spans="1:15" ht="13.8">
      <c r="A28" s="19" t="s">
        <v>17</v>
      </c>
      <c r="B28" s="21" t="s">
        <v>70</v>
      </c>
      <c r="C28" s="25"/>
      <c r="D28" s="25"/>
      <c r="E28" s="25"/>
      <c r="F28" s="25"/>
      <c r="G28" s="25"/>
      <c r="H28" s="25"/>
      <c r="I28" s="25"/>
      <c r="J28" s="21" t="s">
        <v>60</v>
      </c>
      <c r="K28" s="19"/>
      <c r="L28" s="19"/>
      <c r="M28" s="19"/>
      <c r="N28" s="19"/>
      <c r="O28" s="19"/>
    </row>
    <row r="29" spans="1:15" ht="13.8">
      <c r="A29" s="26" t="s">
        <v>61</v>
      </c>
      <c r="B29" s="28" t="s">
        <v>62</v>
      </c>
      <c r="C29" s="28" t="s">
        <v>26</v>
      </c>
      <c r="D29" s="30" t="s">
        <v>71</v>
      </c>
      <c r="E29" s="28" t="s">
        <v>83</v>
      </c>
      <c r="F29" s="29"/>
      <c r="G29" s="28" t="s">
        <v>64</v>
      </c>
      <c r="H29" s="28" t="s">
        <v>30</v>
      </c>
      <c r="I29" s="28" t="s">
        <v>63</v>
      </c>
      <c r="J29" s="28" t="s">
        <v>66</v>
      </c>
      <c r="K29" s="19"/>
      <c r="L29" s="19"/>
      <c r="M29" s="19"/>
      <c r="N29" s="19"/>
      <c r="O29" s="19"/>
    </row>
    <row r="30" spans="1:15" ht="14.4">
      <c r="A30" s="19"/>
      <c r="B30" s="184" t="s">
        <v>91</v>
      </c>
      <c r="C30" s="184"/>
      <c r="D30" s="184"/>
      <c r="E30" s="184"/>
      <c r="F30" s="184"/>
      <c r="G30" s="184"/>
      <c r="H30" s="184"/>
      <c r="I30" s="184"/>
      <c r="J30" s="184"/>
      <c r="K30" s="19"/>
      <c r="L30" s="19"/>
      <c r="M30" s="19"/>
      <c r="N30" s="19"/>
      <c r="O30" s="19"/>
    </row>
    <row r="31" spans="1:15" ht="13.8">
      <c r="A31" s="19" t="s">
        <v>34</v>
      </c>
      <c r="B31" s="103">
        <v>35.040999999999997</v>
      </c>
      <c r="C31" s="105">
        <v>481.34800000000001</v>
      </c>
      <c r="D31" s="103">
        <v>0.26666000000000001</v>
      </c>
      <c r="E31" s="115">
        <f>B31+C31+D31</f>
        <v>516.65566000000001</v>
      </c>
      <c r="F31" s="19"/>
      <c r="G31" s="109">
        <f>I31-H31</f>
        <v>388.20178644136797</v>
      </c>
      <c r="H31" s="105">
        <v>83.915873558632001</v>
      </c>
      <c r="I31" s="109">
        <f>E31-J31</f>
        <v>472.11766</v>
      </c>
      <c r="J31" s="109">
        <v>44.537999999999997</v>
      </c>
      <c r="K31" s="19"/>
      <c r="L31" s="19"/>
      <c r="M31" s="19"/>
      <c r="N31" s="19"/>
      <c r="O31" s="19"/>
    </row>
    <row r="32" spans="1:15" ht="16.2">
      <c r="A32" s="23" t="s">
        <v>35</v>
      </c>
      <c r="B32" s="107">
        <f>J31</f>
        <v>44.537999999999997</v>
      </c>
      <c r="C32" s="109">
        <v>399.91800000000001</v>
      </c>
      <c r="D32" s="107">
        <v>21.365218272682</v>
      </c>
      <c r="E32" s="115">
        <f>B32+C32+D32</f>
        <v>465.82121827268202</v>
      </c>
      <c r="F32" s="108"/>
      <c r="G32" s="109">
        <f>I32-H32</f>
        <v>355.51274692573605</v>
      </c>
      <c r="H32" s="109">
        <v>62.100471346945994</v>
      </c>
      <c r="I32" s="109">
        <f>E32-J32</f>
        <v>417.61321827268205</v>
      </c>
      <c r="J32" s="109">
        <v>48.207999999999998</v>
      </c>
      <c r="K32" s="19"/>
      <c r="L32" s="19"/>
      <c r="M32" s="19"/>
      <c r="N32" s="19"/>
      <c r="O32" s="19"/>
    </row>
    <row r="33" spans="1:15" ht="16.2">
      <c r="A33" s="17" t="s">
        <v>36</v>
      </c>
      <c r="B33" s="111">
        <f>J32</f>
        <v>48.207999999999998</v>
      </c>
      <c r="C33" s="113">
        <v>390</v>
      </c>
      <c r="D33" s="111">
        <v>5</v>
      </c>
      <c r="E33" s="116">
        <f>B33+C33+D33</f>
        <v>443.20799999999997</v>
      </c>
      <c r="F33" s="112"/>
      <c r="G33" s="113">
        <f>I33-H33</f>
        <v>332.20799999999997</v>
      </c>
      <c r="H33" s="113">
        <v>66</v>
      </c>
      <c r="I33" s="113">
        <f>E33-J33</f>
        <v>398.20799999999997</v>
      </c>
      <c r="J33" s="113">
        <v>45</v>
      </c>
      <c r="K33" s="19"/>
      <c r="L33" s="19"/>
      <c r="M33" s="19"/>
      <c r="N33" s="19"/>
      <c r="O33" s="19"/>
    </row>
    <row r="34" spans="1:15" ht="16.2">
      <c r="A34" s="58" t="s">
        <v>85</v>
      </c>
      <c r="B34" s="19"/>
      <c r="C34" s="104"/>
      <c r="D34" s="104"/>
      <c r="E34" s="104"/>
      <c r="F34" s="104"/>
      <c r="G34" s="104"/>
      <c r="H34" s="104"/>
      <c r="I34" s="19"/>
      <c r="J34" s="19"/>
      <c r="K34" s="19"/>
      <c r="L34" s="19"/>
      <c r="M34" s="19"/>
      <c r="N34" s="19"/>
      <c r="O34" s="19"/>
    </row>
    <row r="35" spans="1:15" ht="14.4">
      <c r="A35" s="19" t="s">
        <v>90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3.8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3.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3.8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3.8">
      <c r="A39" s="19"/>
      <c r="B39" s="179" t="s">
        <v>13</v>
      </c>
      <c r="C39" s="179"/>
      <c r="D39" s="21" t="s">
        <v>14</v>
      </c>
      <c r="E39" s="179" t="s">
        <v>15</v>
      </c>
      <c r="F39" s="179"/>
      <c r="G39" s="179"/>
      <c r="H39" s="179"/>
      <c r="I39" s="19"/>
      <c r="J39" s="179" t="s">
        <v>59</v>
      </c>
      <c r="K39" s="179"/>
      <c r="L39" s="179"/>
      <c r="M39" s="179"/>
      <c r="N39" s="179"/>
      <c r="O39" s="100"/>
    </row>
    <row r="40" spans="1:15" ht="13.8">
      <c r="A40" s="19" t="s">
        <v>17</v>
      </c>
      <c r="B40" s="21" t="s">
        <v>18</v>
      </c>
      <c r="C40" s="21" t="s">
        <v>19</v>
      </c>
      <c r="D40" s="19"/>
      <c r="E40" s="21" t="s">
        <v>70</v>
      </c>
      <c r="F40" s="21"/>
      <c r="G40" s="21"/>
      <c r="H40" s="21"/>
      <c r="I40" s="19"/>
      <c r="J40" s="117" t="s">
        <v>88</v>
      </c>
      <c r="K40" s="21"/>
      <c r="L40" s="21" t="s">
        <v>22</v>
      </c>
      <c r="M40" s="21"/>
      <c r="N40" s="21"/>
      <c r="O40" s="21" t="s">
        <v>60</v>
      </c>
    </row>
    <row r="41" spans="1:15" ht="13.8">
      <c r="A41" s="26" t="s">
        <v>78</v>
      </c>
      <c r="B41" s="27"/>
      <c r="C41" s="27"/>
      <c r="D41" s="27"/>
      <c r="E41" s="28" t="s">
        <v>62</v>
      </c>
      <c r="F41" s="28" t="s">
        <v>26</v>
      </c>
      <c r="G41" s="28" t="s">
        <v>71</v>
      </c>
      <c r="H41" s="28" t="s">
        <v>83</v>
      </c>
      <c r="I41" s="28"/>
      <c r="J41" s="28" t="s">
        <v>92</v>
      </c>
      <c r="K41" s="28" t="s">
        <v>81</v>
      </c>
      <c r="L41" s="28" t="s">
        <v>29</v>
      </c>
      <c r="M41" s="30" t="s">
        <v>30</v>
      </c>
      <c r="N41" s="28" t="s">
        <v>63</v>
      </c>
      <c r="O41" s="28" t="s">
        <v>66</v>
      </c>
    </row>
    <row r="42" spans="1:15" ht="14.4">
      <c r="A42" s="19"/>
      <c r="B42" s="182" t="s">
        <v>93</v>
      </c>
      <c r="C42" s="183"/>
      <c r="D42" s="118" t="s">
        <v>94</v>
      </c>
      <c r="E42" s="185" t="s">
        <v>95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3"/>
    </row>
    <row r="43" spans="1:15" ht="13.8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3.8">
      <c r="A44" s="19" t="s">
        <v>34</v>
      </c>
      <c r="B44" s="102">
        <v>1432.7</v>
      </c>
      <c r="C44" s="102">
        <v>1389.7</v>
      </c>
      <c r="D44" s="106">
        <f>F44*1000/C44</f>
        <v>3933.5734331150607</v>
      </c>
      <c r="E44" s="102">
        <v>2421.09</v>
      </c>
      <c r="F44" s="102">
        <v>5466.4870000000001</v>
      </c>
      <c r="G44" s="109">
        <v>113.82652333129602</v>
      </c>
      <c r="H44" s="106">
        <f>SUM(E44:G44)</f>
        <v>8001.4035233312961</v>
      </c>
      <c r="I44" s="102"/>
      <c r="J44" s="102">
        <v>3221.4</v>
      </c>
      <c r="K44" s="102">
        <v>774.15131240000005</v>
      </c>
      <c r="L44" s="109">
        <f>N44-J44-K44-M44</f>
        <v>277.31027254689639</v>
      </c>
      <c r="M44" s="105">
        <v>1610.288415053104</v>
      </c>
      <c r="N44" s="102">
        <v>5883.1500000000005</v>
      </c>
      <c r="O44" s="102">
        <v>2118.1880000000001</v>
      </c>
    </row>
    <row r="45" spans="1:15" ht="16.2">
      <c r="A45" s="23" t="s">
        <v>35</v>
      </c>
      <c r="B45" s="106">
        <v>1662.5</v>
      </c>
      <c r="C45" s="106">
        <v>1615.2</v>
      </c>
      <c r="D45" s="106">
        <f>F45*1000/C45</f>
        <v>3812.7476473501733</v>
      </c>
      <c r="E45" s="106">
        <f>O44</f>
        <v>2118.1880000000001</v>
      </c>
      <c r="F45" s="106">
        <v>6158.35</v>
      </c>
      <c r="G45" s="109">
        <v>121.04780464882167</v>
      </c>
      <c r="H45" s="106">
        <f>SUM(E45:G45)</f>
        <v>8397.5858046488229</v>
      </c>
      <c r="I45" s="106"/>
      <c r="J45" s="106">
        <v>3357.2</v>
      </c>
      <c r="K45" s="106">
        <v>872.91017669999985</v>
      </c>
      <c r="L45" s="109">
        <f>N45-J45-K45-M45</f>
        <v>782.56198954251931</v>
      </c>
      <c r="M45" s="109">
        <v>1416.7516384063038</v>
      </c>
      <c r="N45" s="106">
        <f>H45-O45</f>
        <v>6429.4238046488226</v>
      </c>
      <c r="O45" s="106">
        <v>1968.162</v>
      </c>
    </row>
    <row r="46" spans="1:15" ht="16.2">
      <c r="A46" s="17" t="s">
        <v>36</v>
      </c>
      <c r="B46" s="110">
        <v>1585.2</v>
      </c>
      <c r="C46" s="110">
        <v>1545</v>
      </c>
      <c r="D46" s="110">
        <f>F46*1000/C46</f>
        <v>4135.46925566343</v>
      </c>
      <c r="E46" s="110">
        <f>O45</f>
        <v>1968.162</v>
      </c>
      <c r="F46" s="110">
        <v>6389.3</v>
      </c>
      <c r="G46" s="113">
        <v>115</v>
      </c>
      <c r="H46" s="110">
        <f>SUM(E46:G46)</f>
        <v>8472.4619999999995</v>
      </c>
      <c r="I46" s="110"/>
      <c r="J46" s="110">
        <v>3390.7563826135997</v>
      </c>
      <c r="K46" s="110">
        <v>890</v>
      </c>
      <c r="L46" s="113">
        <f>N46-J46-K46-M46</f>
        <v>657.68001738639987</v>
      </c>
      <c r="M46" s="113">
        <v>1250</v>
      </c>
      <c r="N46" s="110">
        <f>H46-O46</f>
        <v>6188.4363999999996</v>
      </c>
      <c r="O46" s="110">
        <v>2284.0255999999999</v>
      </c>
    </row>
    <row r="47" spans="1:15" ht="16.2">
      <c r="A47" s="58" t="s">
        <v>85</v>
      </c>
      <c r="B47" s="19"/>
      <c r="C47" s="104"/>
      <c r="D47" s="104"/>
      <c r="E47" s="104"/>
      <c r="F47" s="104"/>
      <c r="G47" s="104"/>
      <c r="H47" s="104"/>
      <c r="I47" s="19"/>
      <c r="J47" s="19"/>
      <c r="K47" s="19"/>
      <c r="L47" s="19"/>
      <c r="M47" s="19"/>
      <c r="N47" s="19"/>
      <c r="O47" s="19"/>
    </row>
    <row r="48" spans="1:15" ht="14.4">
      <c r="A48" s="19" t="s">
        <v>96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">
      <c r="A49" s="19" t="s">
        <v>87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8">
      <c r="A50" s="25" t="s">
        <v>57</v>
      </c>
      <c r="B50" s="119">
        <f ca="1">NOW()</f>
        <v>44630.680787962963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" customHeigh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1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2" width="18.88671875" style="18" bestFit="1" customWidth="1"/>
    <col min="3" max="3" width="22.109375" style="18" bestFit="1" customWidth="1"/>
    <col min="4" max="5" width="25.6640625" style="18" bestFit="1" customWidth="1"/>
    <col min="6" max="6" width="16.6640625" style="18" bestFit="1" customWidth="1"/>
    <col min="7" max="7" width="18.88671875" style="18" bestFit="1" customWidth="1"/>
    <col min="8" max="16384" width="9.10937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97</v>
      </c>
      <c r="B2" s="40" t="s">
        <v>98</v>
      </c>
      <c r="C2" s="40" t="s">
        <v>99</v>
      </c>
      <c r="D2" s="40" t="s">
        <v>100</v>
      </c>
      <c r="E2" s="40" t="s">
        <v>101</v>
      </c>
      <c r="F2" s="40" t="s">
        <v>102</v>
      </c>
      <c r="G2" s="40" t="s">
        <v>103</v>
      </c>
      <c r="H2" s="59"/>
    </row>
    <row r="3" spans="1:8" ht="15.6" customHeight="1">
      <c r="A3" s="17" t="s">
        <v>104</v>
      </c>
      <c r="B3" s="29"/>
      <c r="C3" s="65"/>
      <c r="D3" s="65"/>
      <c r="E3" s="65"/>
      <c r="F3" s="65"/>
      <c r="G3" s="65"/>
      <c r="H3" s="59"/>
    </row>
    <row r="4" spans="1:8" ht="14.4">
      <c r="A4" s="66"/>
      <c r="B4" s="67" t="s">
        <v>105</v>
      </c>
      <c r="C4" s="67" t="s">
        <v>106</v>
      </c>
      <c r="D4" s="67" t="s">
        <v>107</v>
      </c>
      <c r="E4" s="67" t="s">
        <v>107</v>
      </c>
      <c r="F4" s="67" t="s">
        <v>108</v>
      </c>
      <c r="G4" s="67" t="s">
        <v>105</v>
      </c>
      <c r="H4" s="59"/>
    </row>
    <row r="5" spans="1:8" ht="13.8">
      <c r="A5" s="19"/>
      <c r="B5" s="19"/>
      <c r="C5" s="19"/>
      <c r="D5" s="21"/>
      <c r="E5" s="19"/>
      <c r="F5" s="19"/>
      <c r="G5" s="19"/>
      <c r="H5" s="59"/>
    </row>
    <row r="6" spans="1:8" ht="13.8">
      <c r="A6" s="19" t="s">
        <v>109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8">
      <c r="A7" s="19" t="s">
        <v>110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8">
      <c r="A8" s="19" t="s">
        <v>111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8">
      <c r="A9" s="19" t="s">
        <v>112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8">
      <c r="A10" s="19" t="s">
        <v>113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8">
      <c r="A11" s="19" t="s">
        <v>114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8">
      <c r="A12" s="19" t="s">
        <v>115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8">
      <c r="A13" s="19" t="s">
        <v>116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8">
      <c r="A14" s="19" t="s">
        <v>117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8">
      <c r="A15" s="19" t="s">
        <v>34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6.2">
      <c r="A16" s="19" t="s">
        <v>118</v>
      </c>
      <c r="B16" s="68">
        <v>10.8</v>
      </c>
      <c r="C16" s="68">
        <v>194</v>
      </c>
      <c r="D16" s="68">
        <v>21.3</v>
      </c>
      <c r="E16" s="68">
        <v>18.400000000000002</v>
      </c>
      <c r="F16" s="142">
        <v>21</v>
      </c>
      <c r="G16" s="68">
        <v>11.102000000000002</v>
      </c>
      <c r="H16" s="59"/>
    </row>
    <row r="17" spans="1:8" ht="16.2">
      <c r="A17" s="19" t="s">
        <v>119</v>
      </c>
      <c r="B17" s="68">
        <v>13.25</v>
      </c>
      <c r="C17" s="68">
        <v>245</v>
      </c>
      <c r="D17" s="68">
        <v>31.700000000000003</v>
      </c>
      <c r="E17" s="68">
        <v>32</v>
      </c>
      <c r="F17" s="142">
        <v>24.2</v>
      </c>
      <c r="G17" s="68">
        <v>27</v>
      </c>
      <c r="H17" s="59"/>
    </row>
    <row r="18" spans="1:8" ht="13.8">
      <c r="A18" s="23"/>
      <c r="B18" s="69"/>
      <c r="C18" s="70"/>
      <c r="D18" s="71"/>
      <c r="E18" s="71"/>
      <c r="F18" s="72"/>
      <c r="G18" s="73"/>
      <c r="H18" s="60"/>
    </row>
    <row r="19" spans="1:8" ht="13.8">
      <c r="A19" s="74" t="s">
        <v>37</v>
      </c>
      <c r="B19" s="68"/>
      <c r="C19" s="68"/>
      <c r="D19" s="68"/>
      <c r="E19" s="68"/>
      <c r="F19" s="68"/>
      <c r="G19" s="68"/>
    </row>
    <row r="20" spans="1:8" ht="13.8">
      <c r="A20" s="23" t="s">
        <v>38</v>
      </c>
      <c r="B20" s="68">
        <v>9.24</v>
      </c>
      <c r="C20" s="68">
        <v>164</v>
      </c>
      <c r="D20" s="68">
        <v>23.7</v>
      </c>
      <c r="E20" s="68">
        <v>16.399999999999999</v>
      </c>
      <c r="F20" s="68">
        <v>20.5</v>
      </c>
      <c r="G20" s="68">
        <v>9.64</v>
      </c>
    </row>
    <row r="21" spans="1:8" ht="13.8">
      <c r="A21" s="23" t="s">
        <v>39</v>
      </c>
      <c r="B21" s="68">
        <v>9.6300000000000008</v>
      </c>
      <c r="C21" s="68">
        <v>189</v>
      </c>
      <c r="D21" s="68">
        <v>19.100000000000001</v>
      </c>
      <c r="E21" s="68">
        <v>16.2</v>
      </c>
      <c r="F21" s="68">
        <v>20.9</v>
      </c>
      <c r="G21" s="68">
        <v>9.76</v>
      </c>
    </row>
    <row r="22" spans="1:8" ht="13.8">
      <c r="A22" s="23" t="s">
        <v>40</v>
      </c>
      <c r="B22" s="68">
        <v>10.3</v>
      </c>
      <c r="C22" s="68">
        <v>199</v>
      </c>
      <c r="D22" s="68">
        <v>18.899999999999999</v>
      </c>
      <c r="E22" s="68">
        <v>18.100000000000001</v>
      </c>
      <c r="F22" s="68">
        <v>21.2</v>
      </c>
      <c r="G22" s="68">
        <v>10.7</v>
      </c>
    </row>
    <row r="23" spans="1:8" ht="13.8">
      <c r="A23" s="23" t="s">
        <v>42</v>
      </c>
      <c r="B23" s="68">
        <v>10.6</v>
      </c>
      <c r="C23" s="68">
        <v>195</v>
      </c>
      <c r="D23" s="68">
        <v>19.2</v>
      </c>
      <c r="E23" s="68">
        <v>17.2</v>
      </c>
      <c r="F23" s="68">
        <v>20.399999999999999</v>
      </c>
      <c r="G23" s="68">
        <v>10.9</v>
      </c>
    </row>
    <row r="24" spans="1:8" ht="13.8">
      <c r="A24" s="23" t="s">
        <v>43</v>
      </c>
      <c r="B24" s="68">
        <v>10.9</v>
      </c>
      <c r="C24" s="68">
        <v>209</v>
      </c>
      <c r="D24" s="68">
        <v>19.5</v>
      </c>
      <c r="E24" s="68">
        <v>18.8</v>
      </c>
      <c r="F24" s="68">
        <v>20.5</v>
      </c>
      <c r="G24" s="68">
        <v>12</v>
      </c>
    </row>
    <row r="25" spans="1:8" ht="13.8">
      <c r="A25" s="23" t="s">
        <v>44</v>
      </c>
      <c r="B25" s="68">
        <v>12.7</v>
      </c>
      <c r="C25" s="68">
        <v>185</v>
      </c>
      <c r="D25" s="68">
        <v>21.4</v>
      </c>
      <c r="E25" s="68">
        <v>20.399999999999999</v>
      </c>
      <c r="F25" s="68">
        <v>20.5</v>
      </c>
      <c r="G25" s="68">
        <v>13.2</v>
      </c>
    </row>
    <row r="26" spans="1:8" ht="13.8">
      <c r="A26" s="23" t="s">
        <v>46</v>
      </c>
      <c r="B26" s="68">
        <v>13.2</v>
      </c>
      <c r="C26" s="68" t="s">
        <v>76</v>
      </c>
      <c r="D26" s="68">
        <v>21.5</v>
      </c>
      <c r="E26" s="68">
        <v>22</v>
      </c>
      <c r="F26" s="68">
        <v>21.2</v>
      </c>
      <c r="G26" s="68">
        <v>15.7</v>
      </c>
    </row>
    <row r="27" spans="1:8" ht="13.8">
      <c r="A27" s="23" t="s">
        <v>47</v>
      </c>
      <c r="B27" s="68">
        <v>13.9</v>
      </c>
      <c r="C27" s="68" t="s">
        <v>76</v>
      </c>
      <c r="D27" s="68">
        <v>23.7</v>
      </c>
      <c r="E27" s="68">
        <v>23.8</v>
      </c>
      <c r="F27" s="68">
        <v>21.4</v>
      </c>
      <c r="G27" s="68">
        <v>18.100000000000001</v>
      </c>
    </row>
    <row r="28" spans="1:8" ht="13.8">
      <c r="A28" s="23" t="s">
        <v>48</v>
      </c>
      <c r="B28" s="68">
        <v>14.8</v>
      </c>
      <c r="C28" s="68" t="s">
        <v>76</v>
      </c>
      <c r="D28" s="68">
        <v>26.4</v>
      </c>
      <c r="E28" s="68">
        <v>26.1</v>
      </c>
      <c r="F28" s="68">
        <v>21.3</v>
      </c>
      <c r="G28" s="68">
        <v>18.3</v>
      </c>
    </row>
    <row r="29" spans="1:8" ht="13.8">
      <c r="A29" s="23" t="s">
        <v>50</v>
      </c>
      <c r="B29" s="68">
        <v>14.5</v>
      </c>
      <c r="C29" s="68" t="s">
        <v>76</v>
      </c>
      <c r="D29" s="68">
        <v>28.4</v>
      </c>
      <c r="E29" s="68">
        <v>26</v>
      </c>
      <c r="F29" s="68">
        <v>21.3</v>
      </c>
      <c r="G29" s="68">
        <v>19.899999999999999</v>
      </c>
    </row>
    <row r="30" spans="1:8" ht="13.8">
      <c r="A30" s="23" t="s">
        <v>51</v>
      </c>
      <c r="B30" s="68">
        <v>14.1</v>
      </c>
      <c r="C30" s="68" t="s">
        <v>76</v>
      </c>
      <c r="D30" s="68">
        <v>28</v>
      </c>
      <c r="E30" s="68">
        <v>27.7</v>
      </c>
      <c r="F30" s="68">
        <v>21.6</v>
      </c>
      <c r="G30" s="68">
        <v>20.100000000000001</v>
      </c>
    </row>
    <row r="31" spans="1:8" ht="13.8">
      <c r="A31" s="23" t="s">
        <v>52</v>
      </c>
      <c r="B31" s="68">
        <v>13.7</v>
      </c>
      <c r="C31" s="68">
        <v>255</v>
      </c>
      <c r="D31" s="68">
        <v>29.4</v>
      </c>
      <c r="E31" s="68">
        <v>30.9</v>
      </c>
      <c r="F31" s="68">
        <v>21.3</v>
      </c>
      <c r="G31" s="68">
        <v>20.2</v>
      </c>
    </row>
    <row r="32" spans="1:8" ht="13.8">
      <c r="A32" s="23"/>
      <c r="B32" s="68"/>
      <c r="C32" s="68"/>
      <c r="D32" s="68"/>
      <c r="E32" s="68"/>
      <c r="F32" s="68"/>
      <c r="G32" s="68"/>
    </row>
    <row r="33" spans="1:7" ht="13.8">
      <c r="A33" s="74" t="s">
        <v>54</v>
      </c>
      <c r="B33" s="68"/>
      <c r="C33" s="68"/>
      <c r="D33" s="68"/>
      <c r="E33" s="68"/>
      <c r="F33" s="68"/>
      <c r="G33" s="68"/>
    </row>
    <row r="34" spans="1:7" ht="13.8">
      <c r="A34" s="23" t="s">
        <v>38</v>
      </c>
      <c r="B34" s="68">
        <v>12.2</v>
      </c>
      <c r="C34" s="68">
        <v>235</v>
      </c>
      <c r="D34" s="68">
        <v>30.7</v>
      </c>
      <c r="E34" s="68">
        <v>28.7</v>
      </c>
      <c r="F34" s="68">
        <v>22.3</v>
      </c>
      <c r="G34" s="68">
        <v>19.8</v>
      </c>
    </row>
    <row r="35" spans="1:7" ht="13.8">
      <c r="A35" s="23" t="s">
        <v>39</v>
      </c>
      <c r="B35" s="68">
        <v>11.9</v>
      </c>
      <c r="C35" s="68">
        <v>244</v>
      </c>
      <c r="D35" s="68">
        <v>30.5</v>
      </c>
      <c r="E35" s="68">
        <v>29.5</v>
      </c>
      <c r="F35" s="68">
        <v>24</v>
      </c>
      <c r="G35" s="68">
        <v>25.1</v>
      </c>
    </row>
    <row r="36" spans="1:7" ht="13.8">
      <c r="A36" s="23" t="s">
        <v>40</v>
      </c>
      <c r="B36" s="68">
        <v>12.2</v>
      </c>
      <c r="C36" s="68">
        <v>244</v>
      </c>
      <c r="D36" s="68">
        <v>30.2</v>
      </c>
      <c r="E36" s="68">
        <v>31.7</v>
      </c>
      <c r="F36" s="68">
        <v>25.4</v>
      </c>
      <c r="G36" s="68">
        <v>26.1</v>
      </c>
    </row>
    <row r="37" spans="1:7" ht="13.8">
      <c r="A37" s="23" t="s">
        <v>42</v>
      </c>
      <c r="B37" s="68">
        <v>12.5</v>
      </c>
      <c r="C37" s="68">
        <v>239</v>
      </c>
      <c r="D37" s="68">
        <v>31.7</v>
      </c>
      <c r="E37" s="68">
        <v>32.5</v>
      </c>
      <c r="F37" s="68">
        <v>24</v>
      </c>
      <c r="G37" s="68">
        <v>31.4</v>
      </c>
    </row>
    <row r="38" spans="1:7" ht="13.8">
      <c r="A38" s="17" t="s">
        <v>43</v>
      </c>
      <c r="B38" s="16">
        <v>12.9</v>
      </c>
      <c r="C38" s="16">
        <v>241</v>
      </c>
      <c r="D38" s="16">
        <v>31</v>
      </c>
      <c r="E38" s="16">
        <v>33.700000000000003</v>
      </c>
      <c r="F38" s="16">
        <v>26.1</v>
      </c>
      <c r="G38" s="16">
        <v>31</v>
      </c>
    </row>
    <row r="39" spans="1:7" ht="16.2">
      <c r="A39" s="19" t="s">
        <v>120</v>
      </c>
      <c r="B39" s="19"/>
      <c r="C39" s="19"/>
      <c r="D39" s="19"/>
      <c r="E39" s="19"/>
      <c r="F39" s="19"/>
      <c r="G39" s="19"/>
    </row>
    <row r="40" spans="1:7" ht="14.4">
      <c r="A40" s="19" t="s">
        <v>121</v>
      </c>
      <c r="B40" s="19"/>
      <c r="C40" s="19"/>
      <c r="D40" s="19"/>
      <c r="E40" s="19"/>
      <c r="F40" s="19"/>
      <c r="G40" s="19"/>
    </row>
    <row r="41" spans="1:7" ht="13.8">
      <c r="A41" s="25" t="s">
        <v>57</v>
      </c>
      <c r="B41" s="50">
        <f ca="1">NOW()</f>
        <v>44630.680787962963</v>
      </c>
      <c r="C41" s="19"/>
      <c r="D41" s="19"/>
      <c r="E41" s="19"/>
      <c r="F41" s="19"/>
      <c r="G41" s="19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62"/>
  <sheetViews>
    <sheetView showGridLines="0" zoomScale="70" zoomScaleNormal="70" workbookViewId="0"/>
  </sheetViews>
  <sheetFormatPr defaultColWidth="9.109375" defaultRowHeight="13.2"/>
  <cols>
    <col min="1" max="2" width="11.6640625" style="18" customWidth="1"/>
    <col min="3" max="3" width="11.5546875" style="18" customWidth="1"/>
    <col min="4" max="4" width="13.6640625" style="18" customWidth="1"/>
    <col min="5" max="5" width="11.6640625" style="18" customWidth="1"/>
    <col min="6" max="6" width="11.5546875" style="18" bestFit="1" customWidth="1"/>
    <col min="7" max="7" width="10.6640625" style="18" customWidth="1"/>
    <col min="8" max="8" width="12" style="18" customWidth="1"/>
    <col min="9" max="9" width="13.44140625" style="18" customWidth="1"/>
    <col min="10" max="11" width="9.109375" style="18"/>
    <col min="12" max="12" width="22.33203125" style="18" bestFit="1" customWidth="1"/>
    <col min="13" max="13" width="20.33203125" style="18" bestFit="1" customWidth="1"/>
    <col min="14" max="16384" width="9.109375" style="18"/>
  </cols>
  <sheetData>
    <row r="1" spans="1:9" ht="13.8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97</v>
      </c>
      <c r="B2" s="40" t="s">
        <v>122</v>
      </c>
      <c r="C2" s="40" t="s">
        <v>123</v>
      </c>
      <c r="D2" s="40" t="s">
        <v>124</v>
      </c>
      <c r="E2" s="76" t="s">
        <v>125</v>
      </c>
      <c r="F2" s="76" t="s">
        <v>126</v>
      </c>
      <c r="G2" s="40" t="s">
        <v>127</v>
      </c>
      <c r="H2" s="40" t="s">
        <v>218</v>
      </c>
      <c r="I2" s="77" t="s">
        <v>128</v>
      </c>
    </row>
    <row r="3" spans="1:9" ht="15.6" customHeight="1">
      <c r="A3" s="78" t="s">
        <v>104</v>
      </c>
      <c r="B3" s="28" t="s">
        <v>129</v>
      </c>
      <c r="C3" s="28" t="s">
        <v>130</v>
      </c>
      <c r="D3" s="28" t="s">
        <v>131</v>
      </c>
      <c r="E3" s="28" t="s">
        <v>131</v>
      </c>
      <c r="F3" s="28" t="s">
        <v>132</v>
      </c>
      <c r="G3" s="28" t="s">
        <v>217</v>
      </c>
      <c r="H3" s="28"/>
      <c r="I3" s="28" t="s">
        <v>219</v>
      </c>
    </row>
    <row r="4" spans="1:9" ht="14.4">
      <c r="A4" s="19"/>
      <c r="B4" s="79" t="s">
        <v>133</v>
      </c>
      <c r="C4" s="80"/>
      <c r="D4" s="80"/>
      <c r="E4" s="80"/>
      <c r="F4" s="80"/>
      <c r="G4" s="80"/>
      <c r="H4" s="80"/>
      <c r="I4" s="80"/>
    </row>
    <row r="5" spans="1:9" ht="13.8">
      <c r="A5" s="19"/>
      <c r="B5" s="19"/>
      <c r="C5" s="19"/>
      <c r="D5" s="19"/>
      <c r="E5" s="19"/>
      <c r="F5" s="19"/>
      <c r="G5" s="19"/>
      <c r="H5" s="19"/>
      <c r="I5" s="19"/>
    </row>
    <row r="6" spans="1:9" ht="13.8">
      <c r="A6" s="19" t="s">
        <v>109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8">
      <c r="A7" s="19" t="s">
        <v>110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8">
      <c r="A8" s="19" t="s">
        <v>111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8">
      <c r="A9" s="19" t="s">
        <v>112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8">
      <c r="A10" s="19" t="s">
        <v>113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8">
      <c r="A11" s="19" t="s">
        <v>114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8">
      <c r="A12" s="19" t="s">
        <v>115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8">
      <c r="A13" s="19" t="s">
        <v>116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8">
      <c r="A14" s="19" t="s">
        <v>117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8">
      <c r="A15" s="19" t="s">
        <v>34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6.2">
      <c r="A16" s="19" t="s">
        <v>144</v>
      </c>
      <c r="B16" s="68">
        <v>56.87</v>
      </c>
      <c r="C16" s="68">
        <v>80.94</v>
      </c>
      <c r="D16" s="68">
        <v>79.000000000000014</v>
      </c>
      <c r="E16" s="68">
        <v>70.459999999999994</v>
      </c>
      <c r="F16" s="68">
        <v>101.4</v>
      </c>
      <c r="G16" s="68">
        <v>44</v>
      </c>
      <c r="H16" s="68">
        <v>43.5</v>
      </c>
      <c r="I16" s="68">
        <v>39</v>
      </c>
    </row>
    <row r="17" spans="1:10" ht="16.2">
      <c r="A17" s="19" t="s">
        <v>145</v>
      </c>
      <c r="B17" s="68">
        <v>68</v>
      </c>
      <c r="C17" s="68">
        <v>97</v>
      </c>
      <c r="D17" s="68">
        <v>115</v>
      </c>
      <c r="E17" s="68">
        <v>85</v>
      </c>
      <c r="F17" s="68">
        <v>108</v>
      </c>
      <c r="G17" s="68">
        <v>78</v>
      </c>
      <c r="H17" s="68">
        <v>56</v>
      </c>
      <c r="I17" s="68">
        <v>58</v>
      </c>
      <c r="J17" s="140"/>
    </row>
    <row r="18" spans="1:10" ht="13.8">
      <c r="A18" s="19"/>
      <c r="B18" s="38"/>
      <c r="C18" s="70"/>
      <c r="D18" s="81"/>
      <c r="E18" s="81"/>
      <c r="F18" s="81"/>
      <c r="G18" s="81"/>
      <c r="H18" s="19"/>
      <c r="I18" s="19"/>
    </row>
    <row r="19" spans="1:10" ht="13.8">
      <c r="A19" s="41" t="s">
        <v>37</v>
      </c>
      <c r="B19" s="68"/>
      <c r="C19" s="68"/>
      <c r="D19" s="68"/>
      <c r="E19" s="68"/>
      <c r="F19" s="68"/>
      <c r="G19" s="68"/>
      <c r="H19" s="68"/>
      <c r="I19" s="68"/>
    </row>
    <row r="20" spans="1:10" ht="13.8">
      <c r="A20" s="23" t="s">
        <v>39</v>
      </c>
      <c r="B20" s="68">
        <v>33.909999999999997</v>
      </c>
      <c r="C20" s="68">
        <v>48.35</v>
      </c>
      <c r="D20" s="68">
        <v>57</v>
      </c>
      <c r="E20" s="68">
        <v>44.35</v>
      </c>
      <c r="F20" s="68">
        <v>93</v>
      </c>
      <c r="G20" s="68">
        <v>42.4375</v>
      </c>
      <c r="H20" s="68" t="s">
        <v>76</v>
      </c>
      <c r="I20" s="68">
        <v>34.5</v>
      </c>
    </row>
    <row r="21" spans="1:10" ht="13.8">
      <c r="A21" s="23" t="s">
        <v>40</v>
      </c>
      <c r="B21" s="68">
        <v>37.79</v>
      </c>
      <c r="C21" s="68">
        <v>54.4375</v>
      </c>
      <c r="D21" s="68" t="s">
        <v>76</v>
      </c>
      <c r="E21" s="68">
        <v>49.5</v>
      </c>
      <c r="F21" s="68">
        <v>98.75</v>
      </c>
      <c r="G21" s="68">
        <v>42.524999999999999</v>
      </c>
      <c r="H21" s="68">
        <v>41</v>
      </c>
      <c r="I21" s="68">
        <v>34</v>
      </c>
    </row>
    <row r="22" spans="1:10" ht="13.8">
      <c r="A22" s="23" t="s">
        <v>42</v>
      </c>
      <c r="B22" s="68">
        <v>40.85</v>
      </c>
      <c r="C22" s="68">
        <v>59.2</v>
      </c>
      <c r="D22" s="68" t="s">
        <v>76</v>
      </c>
      <c r="E22" s="68">
        <v>51.65</v>
      </c>
      <c r="F22" s="68">
        <v>100</v>
      </c>
      <c r="G22" s="68">
        <v>41.725000000000001</v>
      </c>
      <c r="H22" s="68" t="s">
        <v>76</v>
      </c>
      <c r="I22" s="68">
        <v>36.25</v>
      </c>
    </row>
    <row r="23" spans="1:10" ht="13.8">
      <c r="A23" s="23" t="s">
        <v>43</v>
      </c>
      <c r="B23" s="68">
        <v>44.31</v>
      </c>
      <c r="C23" s="68">
        <v>63.1875</v>
      </c>
      <c r="D23" s="68" t="s">
        <v>76</v>
      </c>
      <c r="E23" s="68">
        <v>53.3125</v>
      </c>
      <c r="F23" s="68">
        <v>90</v>
      </c>
      <c r="G23" s="68">
        <v>43.337499999999999</v>
      </c>
      <c r="H23" s="68" t="s">
        <v>76</v>
      </c>
      <c r="I23" s="68">
        <v>48.129999999999995</v>
      </c>
    </row>
    <row r="24" spans="1:10" ht="13.8">
      <c r="A24" s="23" t="s">
        <v>44</v>
      </c>
      <c r="B24" s="68">
        <v>48.37</v>
      </c>
      <c r="C24" s="68">
        <v>73.625</v>
      </c>
      <c r="D24" s="68" t="s">
        <v>76</v>
      </c>
      <c r="E24" s="68">
        <v>58.9375</v>
      </c>
      <c r="F24" s="68">
        <v>93</v>
      </c>
      <c r="G24" s="68">
        <v>44.945</v>
      </c>
      <c r="H24" s="68" t="s">
        <v>76</v>
      </c>
      <c r="I24" s="68">
        <v>53.125</v>
      </c>
    </row>
    <row r="25" spans="1:10" ht="13.8">
      <c r="A25" s="23" t="s">
        <v>46</v>
      </c>
      <c r="B25" s="68">
        <v>56</v>
      </c>
      <c r="C25" s="68">
        <v>86.9375</v>
      </c>
      <c r="D25" s="68" t="s">
        <v>76</v>
      </c>
      <c r="E25" s="68">
        <v>71.3125</v>
      </c>
      <c r="F25" s="68">
        <v>105.25</v>
      </c>
      <c r="G25" s="68">
        <v>52.05</v>
      </c>
      <c r="H25" s="68">
        <v>55</v>
      </c>
      <c r="I25" s="68">
        <v>55.943333333333328</v>
      </c>
    </row>
    <row r="26" spans="1:10" ht="13.8">
      <c r="A26" s="23" t="s">
        <v>47</v>
      </c>
      <c r="B26" s="68">
        <v>62.88</v>
      </c>
      <c r="C26" s="68">
        <v>92.65</v>
      </c>
      <c r="D26" s="68">
        <v>83</v>
      </c>
      <c r="E26" s="68">
        <v>79.55</v>
      </c>
      <c r="F26" s="68">
        <v>109.2</v>
      </c>
      <c r="G26" s="68">
        <v>59.8125</v>
      </c>
      <c r="H26" s="68" t="s">
        <v>76</v>
      </c>
      <c r="I26" s="68">
        <v>59.3825</v>
      </c>
    </row>
    <row r="27" spans="1:10" ht="13.8">
      <c r="A27" s="23" t="s">
        <v>48</v>
      </c>
      <c r="B27" s="68">
        <v>74.75</v>
      </c>
      <c r="C27" s="68">
        <v>102.1875</v>
      </c>
      <c r="D27" s="68">
        <v>83</v>
      </c>
      <c r="E27" s="68">
        <v>94.0625</v>
      </c>
      <c r="F27" s="68">
        <v>110</v>
      </c>
      <c r="G27" s="68">
        <v>68.25</v>
      </c>
      <c r="H27" s="68">
        <v>58</v>
      </c>
      <c r="I27" s="68">
        <v>64.724999999999994</v>
      </c>
      <c r="J27" s="85"/>
    </row>
    <row r="28" spans="1:10" ht="13.8">
      <c r="A28" s="23" t="s">
        <v>50</v>
      </c>
      <c r="B28" s="68">
        <v>74.75</v>
      </c>
      <c r="C28" s="68">
        <v>100.6875</v>
      </c>
      <c r="D28" s="68" t="s">
        <v>76</v>
      </c>
      <c r="E28" s="68">
        <v>93.5</v>
      </c>
      <c r="F28" s="68">
        <v>108.1875</v>
      </c>
      <c r="G28" s="68">
        <v>67.599999999999994</v>
      </c>
      <c r="H28" s="68" t="s">
        <v>76</v>
      </c>
      <c r="I28" s="68">
        <v>63.666666666666664</v>
      </c>
    </row>
    <row r="29" spans="1:10" ht="13.8">
      <c r="A29" s="23" t="s">
        <v>51</v>
      </c>
      <c r="B29" s="68">
        <v>72.930000000000007</v>
      </c>
      <c r="C29" s="68">
        <v>99.9</v>
      </c>
      <c r="D29" s="68" t="s">
        <v>76</v>
      </c>
      <c r="E29" s="68">
        <v>92.3</v>
      </c>
      <c r="F29" s="68">
        <v>106</v>
      </c>
      <c r="G29" s="68">
        <v>66.094999999999999</v>
      </c>
      <c r="H29" s="68" t="s">
        <v>76</v>
      </c>
      <c r="I29" s="68">
        <v>66.333333333333329</v>
      </c>
    </row>
    <row r="30" spans="1:10" ht="13.8">
      <c r="A30" s="23" t="s">
        <v>52</v>
      </c>
      <c r="B30" s="68">
        <v>70.010000000000005</v>
      </c>
      <c r="C30" s="68">
        <v>96.5</v>
      </c>
      <c r="D30" s="68" t="s">
        <v>76</v>
      </c>
      <c r="E30" s="68">
        <v>81</v>
      </c>
      <c r="F30" s="68">
        <v>108.75</v>
      </c>
      <c r="G30" s="68">
        <v>64.156000000000006</v>
      </c>
      <c r="H30" s="68">
        <v>72.333333333333329</v>
      </c>
      <c r="I30" s="68">
        <v>72</v>
      </c>
    </row>
    <row r="31" spans="1:10" ht="13.8">
      <c r="A31" s="23" t="s">
        <v>38</v>
      </c>
      <c r="B31" s="68">
        <v>65.930000000000007</v>
      </c>
      <c r="C31" s="68">
        <v>93.625</v>
      </c>
      <c r="D31" s="68" t="s">
        <v>76</v>
      </c>
      <c r="E31" s="68">
        <v>76</v>
      </c>
      <c r="F31" s="68">
        <v>105</v>
      </c>
      <c r="G31" s="68">
        <v>53.184999999999995</v>
      </c>
      <c r="H31" s="68" t="s">
        <v>76</v>
      </c>
      <c r="I31" s="68">
        <v>71.75</v>
      </c>
    </row>
    <row r="32" spans="1:10" ht="13.8">
      <c r="A32" s="23"/>
      <c r="B32" s="68"/>
      <c r="C32" s="68"/>
      <c r="D32" s="68"/>
      <c r="E32" s="68"/>
      <c r="F32" s="68"/>
      <c r="G32" s="68"/>
      <c r="H32" s="68"/>
      <c r="I32" s="68"/>
    </row>
    <row r="33" spans="1:9" ht="13.8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9" ht="13.8">
      <c r="A34" s="23" t="s">
        <v>39</v>
      </c>
      <c r="B34" s="68">
        <v>70.42</v>
      </c>
      <c r="C34" s="68">
        <v>98.5</v>
      </c>
      <c r="D34" s="68">
        <v>129</v>
      </c>
      <c r="E34" s="68">
        <v>82.3</v>
      </c>
      <c r="F34" s="68">
        <v>101.5</v>
      </c>
      <c r="G34" s="68">
        <v>57.069999999999993</v>
      </c>
      <c r="H34" s="68" t="s">
        <v>76</v>
      </c>
      <c r="I34" s="68" t="s">
        <v>76</v>
      </c>
    </row>
    <row r="35" spans="1:9" ht="13.8">
      <c r="A35" s="23" t="s">
        <v>40</v>
      </c>
      <c r="B35" s="68">
        <v>66.459999999999994</v>
      </c>
      <c r="C35" s="68">
        <v>96.75</v>
      </c>
      <c r="D35" s="68">
        <v>125</v>
      </c>
      <c r="E35" s="68">
        <v>84.375</v>
      </c>
      <c r="F35" s="68">
        <v>100</v>
      </c>
      <c r="G35" s="68">
        <v>57.918000000000006</v>
      </c>
      <c r="H35" s="68" t="s">
        <v>76</v>
      </c>
      <c r="I35" s="68">
        <v>80.06</v>
      </c>
    </row>
    <row r="36" spans="1:9" ht="13.8">
      <c r="A36" s="23" t="s">
        <v>42</v>
      </c>
      <c r="B36" s="68">
        <v>63.69</v>
      </c>
      <c r="C36" s="68">
        <v>93.3</v>
      </c>
      <c r="D36" s="68">
        <v>125</v>
      </c>
      <c r="E36" s="68">
        <v>82.95</v>
      </c>
      <c r="F36" s="68">
        <v>100</v>
      </c>
      <c r="G36" s="68">
        <v>56.093333333333334</v>
      </c>
      <c r="H36" s="68" t="s">
        <v>76</v>
      </c>
      <c r="I36" s="68">
        <v>73</v>
      </c>
    </row>
    <row r="37" spans="1:9" ht="13.8">
      <c r="A37" s="23" t="s">
        <v>43</v>
      </c>
      <c r="B37" s="68">
        <v>65.7</v>
      </c>
      <c r="C37" s="68">
        <v>97.9375</v>
      </c>
      <c r="D37" s="68">
        <v>123.125</v>
      </c>
      <c r="E37" s="68">
        <v>88.5625</v>
      </c>
      <c r="F37" s="68">
        <v>103.125</v>
      </c>
      <c r="G37" s="68">
        <v>54.09</v>
      </c>
      <c r="H37" s="68" t="s">
        <v>76</v>
      </c>
      <c r="I37" s="68">
        <v>76.5</v>
      </c>
    </row>
    <row r="38" spans="1:9" ht="13.8">
      <c r="A38" s="17" t="s">
        <v>44</v>
      </c>
      <c r="B38" s="16">
        <v>70.91</v>
      </c>
      <c r="C38" s="16">
        <v>101.375</v>
      </c>
      <c r="D38" s="16">
        <v>115.33</v>
      </c>
      <c r="E38" s="16">
        <v>85.875</v>
      </c>
      <c r="F38" s="16">
        <v>105</v>
      </c>
      <c r="G38" s="16">
        <v>59.29</v>
      </c>
      <c r="H38" s="16">
        <v>82</v>
      </c>
      <c r="I38" s="16">
        <v>80</v>
      </c>
    </row>
    <row r="39" spans="1:9" ht="16.2">
      <c r="A39" s="58" t="s">
        <v>134</v>
      </c>
      <c r="B39" s="83"/>
      <c r="C39" s="83"/>
      <c r="D39" s="83"/>
      <c r="E39" s="83"/>
      <c r="F39" s="83"/>
      <c r="G39" s="83"/>
      <c r="H39" s="83"/>
      <c r="I39" s="83"/>
    </row>
    <row r="40" spans="1:9" ht="16.2">
      <c r="A40" s="19" t="s">
        <v>251</v>
      </c>
      <c r="B40" s="83"/>
      <c r="C40" s="83"/>
      <c r="D40" s="83"/>
      <c r="E40" s="83"/>
      <c r="F40" s="83"/>
      <c r="G40" s="83"/>
      <c r="H40" s="83"/>
      <c r="I40" s="83"/>
    </row>
    <row r="41" spans="1:9" ht="14.4">
      <c r="A41" s="19" t="s">
        <v>156</v>
      </c>
      <c r="B41" s="19"/>
      <c r="C41" s="19"/>
      <c r="D41" s="19"/>
      <c r="E41" s="19"/>
      <c r="F41" s="83"/>
      <c r="G41" s="19"/>
      <c r="H41" s="19"/>
      <c r="I41" s="19"/>
    </row>
    <row r="42" spans="1:9" ht="13.8">
      <c r="A42" s="25" t="s">
        <v>57</v>
      </c>
      <c r="B42" s="50">
        <f ca="1">NOW()</f>
        <v>44630.680787962963</v>
      </c>
      <c r="C42" s="19"/>
      <c r="D42" s="19"/>
      <c r="E42" s="19"/>
      <c r="F42" s="19"/>
      <c r="G42" s="19"/>
      <c r="H42" s="19"/>
      <c r="I42" s="19"/>
    </row>
    <row r="43" spans="1:9" ht="15.6">
      <c r="C43" s="84"/>
      <c r="G43" s="84"/>
      <c r="H43" s="84"/>
      <c r="I43" s="84"/>
    </row>
    <row r="44" spans="1:9" ht="15.6">
      <c r="B44" s="85"/>
      <c r="C44" s="84"/>
      <c r="G44" s="84"/>
      <c r="H44" s="84"/>
      <c r="I44" s="84"/>
    </row>
    <row r="45" spans="1:9" ht="15.6">
      <c r="B45" s="85"/>
      <c r="C45" s="125"/>
      <c r="G45" s="84"/>
      <c r="H45" s="84"/>
      <c r="I45" s="84"/>
    </row>
    <row r="46" spans="1:9" ht="15.6">
      <c r="C46" s="84"/>
      <c r="G46" s="84"/>
      <c r="H46" s="84"/>
      <c r="I46" s="84"/>
    </row>
    <row r="47" spans="1:9" ht="15.6">
      <c r="C47" s="84"/>
      <c r="G47" s="84"/>
      <c r="H47" s="84"/>
      <c r="I47" s="84"/>
    </row>
    <row r="48" spans="1:9" ht="15.6">
      <c r="C48" s="84"/>
      <c r="G48" s="84"/>
      <c r="H48" s="84"/>
      <c r="I48" s="84"/>
    </row>
    <row r="49" spans="3:9" ht="15.6">
      <c r="C49" s="84"/>
      <c r="G49" s="84"/>
      <c r="H49" s="84"/>
      <c r="I49" s="84"/>
    </row>
    <row r="50" spans="3:9" ht="15.6">
      <c r="C50" s="84"/>
      <c r="G50" s="84"/>
      <c r="H50" s="84"/>
      <c r="I50" s="84"/>
    </row>
    <row r="51" spans="3:9" ht="15.6">
      <c r="C51" s="84"/>
      <c r="G51" s="84"/>
      <c r="H51" s="84"/>
      <c r="I51" s="84"/>
    </row>
    <row r="52" spans="3:9" ht="15.6">
      <c r="C52" s="84"/>
      <c r="G52" s="84"/>
      <c r="H52" s="84"/>
      <c r="I52" s="84"/>
    </row>
    <row r="53" spans="3:9" ht="15.6">
      <c r="C53" s="84"/>
      <c r="G53" s="84"/>
      <c r="H53" s="84"/>
      <c r="I53" s="84"/>
    </row>
    <row r="54" spans="3:9" ht="15.6">
      <c r="C54" s="84"/>
      <c r="G54" s="84"/>
      <c r="H54" s="84"/>
      <c r="I54" s="84"/>
    </row>
    <row r="55" spans="3:9" ht="15.6">
      <c r="C55" s="84"/>
      <c r="G55" s="84"/>
      <c r="H55" s="84"/>
      <c r="I55" s="84"/>
    </row>
    <row r="56" spans="3:9" ht="15.6">
      <c r="C56" s="84"/>
      <c r="G56" s="84"/>
      <c r="H56" s="84"/>
      <c r="I56" s="84"/>
    </row>
    <row r="57" spans="3:9" ht="15.6">
      <c r="C57" s="84"/>
      <c r="G57" s="84"/>
      <c r="H57" s="84"/>
      <c r="I57" s="84"/>
    </row>
    <row r="58" spans="3:9" ht="15.6">
      <c r="C58" s="84"/>
      <c r="G58" s="84"/>
      <c r="H58" s="84"/>
      <c r="I58" s="84"/>
    </row>
    <row r="59" spans="3:9" ht="15.6">
      <c r="C59" s="84"/>
      <c r="H59" s="84"/>
      <c r="I59" s="84"/>
    </row>
    <row r="60" spans="3:9" ht="15.6">
      <c r="C60" s="84"/>
      <c r="H60" s="84"/>
      <c r="I60" s="84"/>
    </row>
    <row r="61" spans="3:9" ht="15.6">
      <c r="C61" s="84"/>
      <c r="F61" s="85"/>
      <c r="H61" s="84"/>
      <c r="I61" s="84"/>
    </row>
    <row r="62" spans="3:9" ht="15.6">
      <c r="F62" s="85"/>
      <c r="H62" s="84"/>
      <c r="I62" s="84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4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7" width="13.6640625" style="18" customWidth="1"/>
    <col min="8" max="8" width="10.109375" style="18" bestFit="1" customWidth="1"/>
    <col min="9" max="9" width="9.109375" style="18"/>
    <col min="10" max="10" width="20.33203125" style="18" bestFit="1" customWidth="1"/>
    <col min="11" max="13" width="9.109375" style="18"/>
    <col min="14" max="14" width="8.88671875" style="18" customWidth="1"/>
    <col min="15" max="15" width="18" style="18" bestFit="1" customWidth="1"/>
    <col min="16" max="16384" width="9.109375" style="18"/>
  </cols>
  <sheetData>
    <row r="1" spans="1:31" ht="13.8">
      <c r="A1" s="17" t="s">
        <v>10</v>
      </c>
      <c r="B1" s="17"/>
      <c r="C1" s="17"/>
      <c r="D1" s="17"/>
      <c r="E1" s="17"/>
      <c r="F1" s="17"/>
      <c r="G1" s="17"/>
    </row>
    <row r="2" spans="1:31" ht="15.6" customHeight="1">
      <c r="A2" s="23" t="s">
        <v>97</v>
      </c>
      <c r="B2" s="40" t="s">
        <v>122</v>
      </c>
      <c r="C2" s="86" t="s">
        <v>123</v>
      </c>
      <c r="D2" s="86" t="s">
        <v>124</v>
      </c>
      <c r="E2" s="86" t="s">
        <v>126</v>
      </c>
      <c r="F2" s="40" t="s">
        <v>135</v>
      </c>
      <c r="G2" s="21" t="s">
        <v>136</v>
      </c>
      <c r="AE2" s="87"/>
    </row>
    <row r="3" spans="1:31" ht="15.6" customHeight="1">
      <c r="A3" s="17" t="s">
        <v>104</v>
      </c>
      <c r="B3" s="28" t="s">
        <v>137</v>
      </c>
      <c r="C3" s="28" t="s">
        <v>138</v>
      </c>
      <c r="D3" s="28" t="s">
        <v>139</v>
      </c>
      <c r="E3" s="28" t="s">
        <v>140</v>
      </c>
      <c r="F3" s="28" t="s">
        <v>141</v>
      </c>
      <c r="G3" s="28" t="s">
        <v>142</v>
      </c>
      <c r="AE3" s="87"/>
    </row>
    <row r="4" spans="1:31" ht="14.4">
      <c r="A4" s="19"/>
      <c r="B4" s="79" t="s">
        <v>143</v>
      </c>
      <c r="C4" s="80"/>
      <c r="D4" s="80"/>
      <c r="E4" s="80"/>
      <c r="F4" s="80"/>
      <c r="G4" s="80"/>
      <c r="AE4" s="87"/>
    </row>
    <row r="5" spans="1:31" ht="13.8">
      <c r="A5" s="19"/>
      <c r="B5" s="19"/>
      <c r="C5" s="19"/>
      <c r="D5" s="19"/>
      <c r="E5" s="19"/>
      <c r="F5" s="19"/>
      <c r="G5" s="19"/>
      <c r="AE5" s="87"/>
    </row>
    <row r="6" spans="1:31" ht="13.8">
      <c r="A6" s="19" t="s">
        <v>109</v>
      </c>
      <c r="B6" s="68">
        <v>345.52</v>
      </c>
      <c r="C6" s="68">
        <v>273.83999999999997</v>
      </c>
      <c r="D6" s="68">
        <v>219.72</v>
      </c>
      <c r="E6" s="88" t="s">
        <v>76</v>
      </c>
      <c r="F6" s="68">
        <v>263.63</v>
      </c>
      <c r="G6" s="68">
        <v>240.65</v>
      </c>
      <c r="AE6" s="87"/>
    </row>
    <row r="7" spans="1:31" ht="13.8">
      <c r="A7" s="19" t="s">
        <v>110</v>
      </c>
      <c r="B7" s="68">
        <v>393.53</v>
      </c>
      <c r="C7" s="68">
        <v>275.13</v>
      </c>
      <c r="D7" s="68">
        <v>246.75</v>
      </c>
      <c r="E7" s="88" t="s">
        <v>76</v>
      </c>
      <c r="F7" s="68">
        <v>307.58999999999997</v>
      </c>
      <c r="G7" s="68">
        <v>265.68</v>
      </c>
      <c r="AE7" s="87"/>
    </row>
    <row r="8" spans="1:31" ht="13.8">
      <c r="A8" s="19" t="s">
        <v>111</v>
      </c>
      <c r="B8" s="68">
        <v>468.11</v>
      </c>
      <c r="C8" s="68">
        <v>331.52</v>
      </c>
      <c r="D8" s="68">
        <v>241.57</v>
      </c>
      <c r="E8" s="88" t="s">
        <v>76</v>
      </c>
      <c r="F8" s="68">
        <v>354.22</v>
      </c>
      <c r="G8" s="68">
        <v>329.31</v>
      </c>
      <c r="AE8" s="87"/>
    </row>
    <row r="9" spans="1:31" ht="13.8">
      <c r="A9" s="19" t="s">
        <v>112</v>
      </c>
      <c r="B9" s="68">
        <v>489.94</v>
      </c>
      <c r="C9" s="68">
        <v>377.71</v>
      </c>
      <c r="D9" s="68">
        <v>238.87</v>
      </c>
      <c r="E9" s="88" t="s">
        <v>76</v>
      </c>
      <c r="F9" s="68">
        <v>359.7</v>
      </c>
      <c r="G9" s="68">
        <v>337.23</v>
      </c>
      <c r="AE9" s="87"/>
    </row>
    <row r="10" spans="1:31" ht="13.8">
      <c r="A10" s="19" t="s">
        <v>113</v>
      </c>
      <c r="B10" s="68">
        <v>368.49</v>
      </c>
      <c r="C10" s="68">
        <v>304.27</v>
      </c>
      <c r="D10" s="68">
        <v>209.97</v>
      </c>
      <c r="E10" s="88" t="s">
        <v>76</v>
      </c>
      <c r="F10" s="68">
        <v>301.2</v>
      </c>
      <c r="G10" s="68">
        <v>256.58</v>
      </c>
      <c r="AE10" s="87"/>
    </row>
    <row r="11" spans="1:31" ht="13.8">
      <c r="A11" s="19" t="s">
        <v>114</v>
      </c>
      <c r="B11" s="68">
        <v>324.56</v>
      </c>
      <c r="C11" s="68">
        <v>261.19</v>
      </c>
      <c r="D11" s="68">
        <v>153.16999999999999</v>
      </c>
      <c r="E11" s="88" t="s">
        <v>76</v>
      </c>
      <c r="F11" s="68">
        <v>262.2</v>
      </c>
      <c r="G11" s="68">
        <v>260.23</v>
      </c>
      <c r="AE11" s="87"/>
    </row>
    <row r="12" spans="1:31" ht="13.8">
      <c r="A12" s="19" t="s">
        <v>115</v>
      </c>
      <c r="B12" s="68">
        <v>316.88</v>
      </c>
      <c r="C12" s="68">
        <v>208.61</v>
      </c>
      <c r="D12" s="68">
        <v>145.1</v>
      </c>
      <c r="E12" s="88" t="s">
        <v>76</v>
      </c>
      <c r="F12" s="68">
        <v>267.94</v>
      </c>
      <c r="G12" s="68">
        <v>282.49</v>
      </c>
      <c r="AE12" s="87"/>
    </row>
    <row r="13" spans="1:31" ht="13.8">
      <c r="A13" s="19" t="s">
        <v>116</v>
      </c>
      <c r="B13" s="68">
        <v>345.02</v>
      </c>
      <c r="C13" s="68">
        <v>260.88</v>
      </c>
      <c r="D13" s="68">
        <v>173.53</v>
      </c>
      <c r="E13" s="88" t="s">
        <v>76</v>
      </c>
      <c r="F13" s="68">
        <v>291.14999999999998</v>
      </c>
      <c r="G13" s="68">
        <v>239.15</v>
      </c>
    </row>
    <row r="14" spans="1:31" ht="13.8">
      <c r="A14" s="19" t="s">
        <v>117</v>
      </c>
      <c r="B14" s="68">
        <v>308.27999999999997</v>
      </c>
      <c r="C14" s="68">
        <v>228.64</v>
      </c>
      <c r="D14" s="82">
        <v>164.16</v>
      </c>
      <c r="E14" s="88" t="s">
        <v>76</v>
      </c>
      <c r="F14" s="68">
        <v>272.38</v>
      </c>
      <c r="G14" s="68">
        <v>225.77</v>
      </c>
    </row>
    <row r="15" spans="1:31" ht="13.8">
      <c r="A15" s="19" t="s">
        <v>34</v>
      </c>
      <c r="B15" s="68">
        <v>299.5</v>
      </c>
      <c r="C15" s="68">
        <v>247.04</v>
      </c>
      <c r="D15" s="82">
        <v>187.7</v>
      </c>
      <c r="E15" s="88" t="s">
        <v>76</v>
      </c>
      <c r="F15" s="68">
        <v>273.99</v>
      </c>
      <c r="G15" s="68">
        <v>245.88</v>
      </c>
    </row>
    <row r="16" spans="1:31" ht="16.2">
      <c r="A16" s="19" t="s">
        <v>144</v>
      </c>
      <c r="B16" s="68">
        <v>392.31</v>
      </c>
      <c r="C16" s="68">
        <v>375.51</v>
      </c>
      <c r="D16" s="82">
        <v>246.22</v>
      </c>
      <c r="E16" s="88" t="s">
        <v>76</v>
      </c>
      <c r="F16" s="68">
        <v>351.87</v>
      </c>
      <c r="G16" s="68">
        <v>288.12</v>
      </c>
    </row>
    <row r="17" spans="1:16" ht="16.2">
      <c r="A17" s="19" t="s">
        <v>145</v>
      </c>
      <c r="B17" s="68">
        <v>420</v>
      </c>
      <c r="C17" s="68">
        <v>320</v>
      </c>
      <c r="D17" s="82">
        <v>285</v>
      </c>
      <c r="E17" s="88" t="s">
        <v>76</v>
      </c>
      <c r="F17" s="68">
        <v>380</v>
      </c>
      <c r="G17" s="68">
        <v>320</v>
      </c>
    </row>
    <row r="18" spans="1:16" ht="13.8">
      <c r="A18" s="23"/>
      <c r="B18" s="68"/>
      <c r="C18" s="68"/>
      <c r="D18" s="68"/>
      <c r="E18" s="88"/>
      <c r="F18" s="68"/>
      <c r="G18" s="68"/>
      <c r="I18" s="89"/>
      <c r="J18" s="91"/>
      <c r="K18" s="91"/>
      <c r="L18" s="89"/>
      <c r="M18" s="91"/>
      <c r="N18" s="91"/>
      <c r="O18" s="91"/>
      <c r="P18" s="91"/>
    </row>
    <row r="19" spans="1:16" ht="13.8">
      <c r="A19" s="41" t="s">
        <v>37</v>
      </c>
      <c r="B19" s="68"/>
      <c r="C19" s="68"/>
      <c r="D19" s="68"/>
      <c r="E19" s="88"/>
      <c r="F19" s="68"/>
      <c r="G19" s="68"/>
      <c r="I19" s="90"/>
      <c r="J19" s="91"/>
      <c r="K19" s="91"/>
      <c r="L19" s="89"/>
      <c r="M19" s="89"/>
      <c r="P19" s="91"/>
    </row>
    <row r="20" spans="1:16" ht="13.8">
      <c r="A20" s="19" t="s">
        <v>39</v>
      </c>
      <c r="B20" s="68">
        <v>367.11</v>
      </c>
      <c r="C20" s="68">
        <v>301.88</v>
      </c>
      <c r="D20" s="68">
        <v>211.25</v>
      </c>
      <c r="E20" s="88" t="s">
        <v>76</v>
      </c>
      <c r="F20" s="68">
        <v>327.24</v>
      </c>
      <c r="G20" s="68">
        <v>239.375</v>
      </c>
      <c r="H20" s="92"/>
      <c r="I20" s="89"/>
      <c r="J20" s="91"/>
      <c r="K20" s="91"/>
      <c r="L20" s="89"/>
      <c r="M20" s="89"/>
      <c r="P20" s="91"/>
    </row>
    <row r="21" spans="1:16" ht="13.8">
      <c r="A21" s="19" t="s">
        <v>40</v>
      </c>
      <c r="B21" s="68">
        <v>387.83</v>
      </c>
      <c r="C21" s="68">
        <v>365.63</v>
      </c>
      <c r="D21" s="68">
        <v>216.25</v>
      </c>
      <c r="E21" s="88" t="s">
        <v>76</v>
      </c>
      <c r="F21" s="68">
        <v>333.89</v>
      </c>
      <c r="G21" s="68">
        <v>253.75</v>
      </c>
      <c r="H21" s="92"/>
      <c r="I21" s="89"/>
      <c r="J21" s="19"/>
      <c r="K21" s="91"/>
      <c r="L21" s="89"/>
      <c r="M21" s="89"/>
    </row>
    <row r="22" spans="1:16" ht="13.8">
      <c r="A22" s="19" t="s">
        <v>42</v>
      </c>
      <c r="B22" s="68">
        <v>396.68</v>
      </c>
      <c r="C22" s="68">
        <v>435.83</v>
      </c>
      <c r="D22" s="68">
        <v>252.5</v>
      </c>
      <c r="E22" s="88" t="s">
        <v>76</v>
      </c>
      <c r="F22" s="68">
        <v>338.55</v>
      </c>
      <c r="G22" s="68">
        <v>275</v>
      </c>
      <c r="H22" s="92"/>
      <c r="I22" s="89"/>
      <c r="J22" s="19"/>
      <c r="K22" s="91"/>
      <c r="L22" s="89"/>
    </row>
    <row r="23" spans="1:16" ht="13.8">
      <c r="A23" s="23" t="s">
        <v>43</v>
      </c>
      <c r="B23" s="68">
        <v>439.24</v>
      </c>
      <c r="C23" s="68">
        <v>443.75</v>
      </c>
      <c r="D23" s="68">
        <v>280.63</v>
      </c>
      <c r="E23" s="88" t="s">
        <v>76</v>
      </c>
      <c r="F23" s="68">
        <v>387.53</v>
      </c>
      <c r="G23" s="68">
        <v>313.125</v>
      </c>
      <c r="I23" s="89"/>
      <c r="J23" s="91"/>
      <c r="K23" s="91"/>
      <c r="L23" s="91"/>
      <c r="M23" s="91"/>
      <c r="N23" s="91"/>
    </row>
    <row r="24" spans="1:16" ht="14.4">
      <c r="A24" s="23" t="s">
        <v>44</v>
      </c>
      <c r="B24" s="68">
        <v>427.28</v>
      </c>
      <c r="C24" s="68">
        <v>460</v>
      </c>
      <c r="D24" s="68">
        <v>291.88</v>
      </c>
      <c r="E24" s="88" t="s">
        <v>76</v>
      </c>
      <c r="F24" s="68">
        <v>376.07499999999999</v>
      </c>
      <c r="G24" s="68">
        <v>296.25</v>
      </c>
      <c r="I24" s="89"/>
      <c r="J24" s="93"/>
      <c r="K24" s="91"/>
      <c r="L24" s="89"/>
      <c r="M24" s="89"/>
      <c r="O24" s="91"/>
    </row>
    <row r="25" spans="1:16" ht="13.8">
      <c r="A25" s="23" t="s">
        <v>46</v>
      </c>
      <c r="B25" s="68">
        <v>410.02</v>
      </c>
      <c r="C25" s="68">
        <v>456</v>
      </c>
      <c r="D25" s="68">
        <v>279.5</v>
      </c>
      <c r="E25" s="88" t="s">
        <v>76</v>
      </c>
      <c r="F25" s="68">
        <v>365.14</v>
      </c>
      <c r="G25" s="68">
        <v>322</v>
      </c>
      <c r="I25" s="89"/>
      <c r="J25" s="23"/>
      <c r="K25" s="89"/>
      <c r="L25" s="89"/>
      <c r="M25" s="89"/>
      <c r="O25" s="91"/>
    </row>
    <row r="26" spans="1:16" ht="13.8">
      <c r="A26" s="23" t="s">
        <v>47</v>
      </c>
      <c r="B26" s="68">
        <v>413.36</v>
      </c>
      <c r="C26" s="68">
        <v>415</v>
      </c>
      <c r="D26" s="68">
        <v>258.125</v>
      </c>
      <c r="E26" s="88" t="s">
        <v>76</v>
      </c>
      <c r="F26" s="68">
        <v>377.57499999999999</v>
      </c>
      <c r="G26" s="68">
        <v>318.75</v>
      </c>
      <c r="I26" s="41"/>
      <c r="J26" s="23"/>
      <c r="K26" s="89"/>
      <c r="L26" s="89"/>
      <c r="M26" s="89"/>
      <c r="O26" s="91"/>
    </row>
    <row r="27" spans="1:16" ht="13.8">
      <c r="A27" s="23" t="s">
        <v>48</v>
      </c>
      <c r="B27" s="68">
        <v>421.03</v>
      </c>
      <c r="C27" s="68">
        <v>360.625</v>
      </c>
      <c r="D27" s="68">
        <v>265</v>
      </c>
      <c r="E27" s="88" t="s">
        <v>76</v>
      </c>
      <c r="F27" s="68">
        <v>391.45</v>
      </c>
      <c r="G27" s="68">
        <v>335.63</v>
      </c>
      <c r="I27" s="19"/>
      <c r="J27" s="23"/>
      <c r="K27" s="89"/>
      <c r="L27" s="89"/>
      <c r="M27" s="89"/>
      <c r="O27" s="91"/>
    </row>
    <row r="28" spans="1:16" ht="13.8">
      <c r="A28" s="23" t="s">
        <v>50</v>
      </c>
      <c r="B28" s="68">
        <v>378.18</v>
      </c>
      <c r="C28" s="68">
        <v>337.5</v>
      </c>
      <c r="D28" s="68">
        <v>252.5</v>
      </c>
      <c r="E28" s="88" t="s">
        <v>76</v>
      </c>
      <c r="F28" s="68">
        <v>345.9</v>
      </c>
      <c r="G28" s="68">
        <v>293.5</v>
      </c>
      <c r="I28" s="19"/>
      <c r="J28" s="23"/>
      <c r="K28" s="89"/>
      <c r="L28" s="89"/>
      <c r="M28" s="89"/>
      <c r="O28" s="91"/>
    </row>
    <row r="29" spans="1:16" ht="13.8">
      <c r="A29" s="23" t="s">
        <v>51</v>
      </c>
      <c r="B29" s="68">
        <v>365.23</v>
      </c>
      <c r="C29" s="68">
        <v>321.875</v>
      </c>
      <c r="D29" s="68">
        <v>206.25</v>
      </c>
      <c r="E29" s="88" t="s">
        <v>76</v>
      </c>
      <c r="F29" s="68">
        <v>326.67499999999995</v>
      </c>
      <c r="G29" s="68">
        <v>262.5</v>
      </c>
      <c r="I29" s="19"/>
      <c r="J29" s="23"/>
      <c r="K29" s="89"/>
      <c r="L29" s="89"/>
      <c r="M29" s="89"/>
      <c r="O29" s="91"/>
    </row>
    <row r="30" spans="1:16" ht="13.8">
      <c r="A30" s="23" t="s">
        <v>52</v>
      </c>
      <c r="B30" s="68">
        <v>358.21</v>
      </c>
      <c r="C30" s="68">
        <v>303</v>
      </c>
      <c r="D30" s="68">
        <v>219.5</v>
      </c>
      <c r="E30" s="88" t="s">
        <v>76</v>
      </c>
      <c r="F30" s="68">
        <v>329.45</v>
      </c>
      <c r="G30" s="68">
        <v>287.5</v>
      </c>
      <c r="I30" s="19"/>
      <c r="J30" s="23"/>
      <c r="K30" s="89"/>
      <c r="L30" s="89"/>
      <c r="M30" s="89"/>
      <c r="O30" s="91"/>
    </row>
    <row r="31" spans="1:16" ht="13.8">
      <c r="A31" s="23" t="s">
        <v>38</v>
      </c>
      <c r="B31" s="68">
        <v>343.55</v>
      </c>
      <c r="C31" s="68">
        <v>305</v>
      </c>
      <c r="D31" s="68">
        <v>221.25</v>
      </c>
      <c r="E31" s="88" t="s">
        <v>76</v>
      </c>
      <c r="F31" s="68">
        <v>322.96249999999998</v>
      </c>
      <c r="G31" s="68">
        <v>260</v>
      </c>
      <c r="I31" s="19"/>
      <c r="J31" s="23"/>
      <c r="K31" s="89"/>
      <c r="L31" s="89"/>
      <c r="M31" s="89"/>
      <c r="O31" s="91"/>
    </row>
    <row r="32" spans="1:16" ht="13.8">
      <c r="A32" s="23"/>
      <c r="B32" s="68"/>
      <c r="C32" s="68"/>
      <c r="D32" s="68"/>
      <c r="E32" s="68"/>
      <c r="F32" s="68"/>
      <c r="G32" s="68"/>
      <c r="H32" s="68"/>
      <c r="I32" s="68"/>
    </row>
    <row r="33" spans="1:13" ht="13.8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13" ht="13.8">
      <c r="A34" s="23" t="s">
        <v>39</v>
      </c>
      <c r="B34" s="68">
        <v>325.43</v>
      </c>
      <c r="C34" s="68">
        <v>298.75</v>
      </c>
      <c r="D34" s="68">
        <v>222.5</v>
      </c>
      <c r="E34" s="88" t="s">
        <v>76</v>
      </c>
      <c r="F34" s="68">
        <v>322.82499999999999</v>
      </c>
      <c r="G34" s="68">
        <v>265.625</v>
      </c>
      <c r="H34" s="68"/>
      <c r="I34" s="68"/>
    </row>
    <row r="35" spans="1:13" ht="13.8">
      <c r="A35" s="23" t="s">
        <v>40</v>
      </c>
      <c r="B35" s="68">
        <v>358.73</v>
      </c>
      <c r="C35" s="68">
        <v>304.5</v>
      </c>
      <c r="D35" s="68">
        <v>256.5</v>
      </c>
      <c r="E35" s="88" t="s">
        <v>76</v>
      </c>
      <c r="F35" s="68">
        <v>350.21999999999997</v>
      </c>
      <c r="G35" s="68">
        <v>252</v>
      </c>
      <c r="H35" s="68"/>
      <c r="I35" s="68"/>
    </row>
    <row r="36" spans="1:13" ht="13.8">
      <c r="A36" s="23" t="s">
        <v>42</v>
      </c>
      <c r="B36" s="68">
        <v>399.53</v>
      </c>
      <c r="C36" s="68">
        <v>311.25</v>
      </c>
      <c r="D36" s="68">
        <v>289.16666666666669</v>
      </c>
      <c r="E36" s="88" t="s">
        <v>76</v>
      </c>
      <c r="F36" s="68">
        <v>382.9666666666667</v>
      </c>
      <c r="G36" s="68">
        <v>309.16666666666669</v>
      </c>
      <c r="H36" s="68"/>
      <c r="I36" s="68"/>
    </row>
    <row r="37" spans="1:13" ht="13.8">
      <c r="A37" s="23" t="s">
        <v>146</v>
      </c>
      <c r="B37" s="68">
        <v>421.21</v>
      </c>
      <c r="C37" s="68">
        <v>318.125</v>
      </c>
      <c r="D37" s="68">
        <v>301.25</v>
      </c>
      <c r="E37" s="88" t="s">
        <v>76</v>
      </c>
      <c r="F37" s="68">
        <v>410.875</v>
      </c>
      <c r="G37" s="68">
        <v>326.25</v>
      </c>
      <c r="H37" s="68"/>
      <c r="I37" s="68"/>
    </row>
    <row r="38" spans="1:13" ht="13.8">
      <c r="A38" s="17" t="s">
        <v>44</v>
      </c>
      <c r="B38" s="175">
        <v>460.45</v>
      </c>
      <c r="C38" s="16">
        <v>333.75</v>
      </c>
      <c r="D38" s="16">
        <v>320</v>
      </c>
      <c r="E38" s="132" t="s">
        <v>76</v>
      </c>
      <c r="F38" s="16">
        <v>454.625</v>
      </c>
      <c r="G38" s="16">
        <v>350</v>
      </c>
      <c r="H38" s="68"/>
      <c r="I38" s="68"/>
    </row>
    <row r="39" spans="1:13" ht="16.2">
      <c r="A39" s="58" t="s">
        <v>147</v>
      </c>
      <c r="B39" s="94"/>
      <c r="C39" s="94"/>
      <c r="D39" s="94"/>
      <c r="E39" s="94"/>
      <c r="F39" s="94"/>
      <c r="G39" s="94"/>
      <c r="I39" s="19"/>
      <c r="J39" s="89"/>
      <c r="K39" s="89"/>
      <c r="L39" s="89"/>
    </row>
    <row r="40" spans="1:13" ht="16.2">
      <c r="A40" s="58" t="s">
        <v>148</v>
      </c>
      <c r="B40" s="95"/>
      <c r="C40" s="95"/>
      <c r="D40" s="95"/>
      <c r="E40" s="95"/>
      <c r="F40" s="95"/>
      <c r="G40" s="95"/>
      <c r="I40" s="19"/>
      <c r="J40" s="68"/>
      <c r="K40" s="89"/>
      <c r="L40" s="89"/>
      <c r="M40" s="89"/>
    </row>
    <row r="41" spans="1:13" ht="13.8">
      <c r="A41" s="19"/>
      <c r="B41" s="95"/>
      <c r="C41" s="95"/>
      <c r="D41" s="95"/>
      <c r="E41" s="95"/>
      <c r="F41" s="95"/>
      <c r="G41" s="95"/>
      <c r="H41" s="59"/>
      <c r="I41" s="23"/>
      <c r="J41" s="68"/>
      <c r="K41" s="89"/>
      <c r="L41" s="89"/>
      <c r="M41" s="89"/>
    </row>
    <row r="42" spans="1:13" ht="14.4">
      <c r="A42" s="19" t="s">
        <v>155</v>
      </c>
      <c r="B42" s="19"/>
      <c r="C42" s="19"/>
      <c r="D42" s="19"/>
      <c r="E42" s="19"/>
      <c r="F42" s="95"/>
      <c r="G42" s="95"/>
      <c r="I42" s="23"/>
      <c r="J42" s="68"/>
      <c r="K42" s="89"/>
      <c r="L42" s="89"/>
      <c r="M42" s="89"/>
    </row>
    <row r="43" spans="1:13" ht="13.8">
      <c r="A43" s="25" t="s">
        <v>57</v>
      </c>
      <c r="B43" s="50">
        <f ca="1">NOW()</f>
        <v>44630.680787962963</v>
      </c>
      <c r="C43" s="19"/>
      <c r="D43" s="19"/>
      <c r="E43" s="19"/>
      <c r="F43" s="95"/>
      <c r="G43" s="95"/>
      <c r="I43" s="23"/>
      <c r="J43" s="68"/>
      <c r="K43" s="96"/>
      <c r="L43" s="96"/>
      <c r="M43" s="96"/>
    </row>
    <row r="44" spans="1:13" ht="13.8">
      <c r="F44" s="95"/>
      <c r="G44" s="95"/>
      <c r="I44" s="23"/>
      <c r="J44" s="68"/>
      <c r="K44" s="96"/>
      <c r="L44" s="96"/>
      <c r="M44" s="96"/>
    </row>
    <row r="45" spans="1:13" ht="13.8">
      <c r="F45" s="95"/>
      <c r="G45" s="95"/>
      <c r="I45" s="23"/>
      <c r="J45" s="68"/>
      <c r="K45" s="89"/>
      <c r="L45" s="89"/>
      <c r="M45" s="89"/>
    </row>
    <row r="46" spans="1:13">
      <c r="I46" s="97"/>
      <c r="J46" s="97"/>
      <c r="K46" s="89"/>
      <c r="L46" s="89"/>
      <c r="M46" s="89"/>
    </row>
    <row r="47" spans="1:13">
      <c r="I47" s="98"/>
      <c r="J47" s="98"/>
      <c r="K47" s="89"/>
      <c r="L47" s="89"/>
      <c r="M47" s="89"/>
    </row>
    <row r="48" spans="1:13">
      <c r="I48" s="98"/>
      <c r="J48" s="98"/>
      <c r="K48" s="89"/>
      <c r="L48" s="89"/>
      <c r="M48" s="89"/>
    </row>
    <row r="49" spans="9:13">
      <c r="I49" s="98"/>
      <c r="J49" s="98"/>
      <c r="K49" s="89"/>
      <c r="L49" s="89"/>
      <c r="M49" s="89"/>
    </row>
    <row r="50" spans="9:13">
      <c r="I50" s="98"/>
      <c r="J50" s="98"/>
      <c r="K50" s="89"/>
      <c r="L50" s="89"/>
      <c r="M50" s="89"/>
    </row>
    <row r="52" spans="9:13">
      <c r="I52" s="99"/>
      <c r="J52" s="99"/>
      <c r="K52" s="99"/>
      <c r="L52" s="99"/>
      <c r="M52" s="99"/>
    </row>
    <row r="53" spans="9:13">
      <c r="I53" s="99"/>
      <c r="J53" s="99"/>
      <c r="K53" s="99"/>
      <c r="L53" s="99"/>
      <c r="M53" s="99"/>
    </row>
    <row r="54" spans="9:13">
      <c r="J54" s="99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614F-86D5-499D-A4F0-1FA417923D2A}">
  <sheetPr codeName="Sheet8"/>
  <dimension ref="A1:D48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/>
  <cols>
    <col min="1" max="1" width="11.33203125" style="127" customWidth="1"/>
    <col min="2" max="2" width="10.6640625" style="127" customWidth="1"/>
    <col min="3" max="3" width="12.109375" style="127" customWidth="1"/>
    <col min="4" max="4" width="7.44140625" style="127" customWidth="1"/>
    <col min="5" max="16384" width="8.88671875" style="127"/>
  </cols>
  <sheetData>
    <row r="1" spans="1:4" ht="39.6">
      <c r="A1" s="172" t="s">
        <v>221</v>
      </c>
      <c r="B1" s="126" t="s">
        <v>220</v>
      </c>
      <c r="C1" s="126" t="s">
        <v>222</v>
      </c>
      <c r="D1" s="126" t="s">
        <v>254</v>
      </c>
    </row>
    <row r="2" spans="1:4">
      <c r="A2" s="127" t="s">
        <v>170</v>
      </c>
      <c r="B2" s="127">
        <v>583</v>
      </c>
      <c r="C2" s="127">
        <v>528</v>
      </c>
      <c r="D2" s="127">
        <v>540</v>
      </c>
    </row>
    <row r="3" spans="1:4">
      <c r="A3" s="127" t="s">
        <v>171</v>
      </c>
      <c r="B3" s="127">
        <v>600</v>
      </c>
      <c r="C3" s="127">
        <v>542</v>
      </c>
      <c r="D3" s="127">
        <v>553</v>
      </c>
    </row>
    <row r="4" spans="1:4">
      <c r="A4" s="127" t="s">
        <v>172</v>
      </c>
      <c r="B4" s="127">
        <v>606</v>
      </c>
      <c r="C4" s="127">
        <v>544</v>
      </c>
      <c r="D4" s="127">
        <v>553</v>
      </c>
    </row>
    <row r="5" spans="1:4">
      <c r="A5" s="127" t="s">
        <v>173</v>
      </c>
      <c r="B5" s="127">
        <v>603</v>
      </c>
      <c r="C5" s="127">
        <v>543</v>
      </c>
      <c r="D5" s="127">
        <v>552</v>
      </c>
    </row>
    <row r="6" spans="1:4">
      <c r="A6" s="127" t="s">
        <v>174</v>
      </c>
      <c r="B6" s="127">
        <v>612</v>
      </c>
      <c r="C6" s="127">
        <v>551</v>
      </c>
      <c r="D6" s="127">
        <v>560</v>
      </c>
    </row>
    <row r="7" spans="1:4">
      <c r="A7" s="127" t="s">
        <v>175</v>
      </c>
      <c r="B7" s="127">
        <v>602</v>
      </c>
      <c r="C7" s="127">
        <v>542</v>
      </c>
      <c r="D7" s="127">
        <v>553</v>
      </c>
    </row>
    <row r="8" spans="1:4">
      <c r="A8" s="127" t="s">
        <v>176</v>
      </c>
      <c r="B8" s="127">
        <v>603</v>
      </c>
      <c r="C8" s="127">
        <v>543</v>
      </c>
      <c r="D8" s="127">
        <v>554</v>
      </c>
    </row>
    <row r="9" spans="1:4">
      <c r="A9" s="127" t="s">
        <v>177</v>
      </c>
      <c r="B9" s="127">
        <v>609</v>
      </c>
      <c r="C9" s="127">
        <v>548</v>
      </c>
      <c r="D9" s="127">
        <v>560</v>
      </c>
    </row>
    <row r="10" spans="1:4">
      <c r="A10" s="127" t="s">
        <v>178</v>
      </c>
      <c r="B10" s="127">
        <v>599</v>
      </c>
      <c r="C10" s="127">
        <v>527</v>
      </c>
      <c r="D10" s="127">
        <v>554</v>
      </c>
    </row>
    <row r="11" spans="1:4">
      <c r="A11" s="127" t="s">
        <v>179</v>
      </c>
      <c r="B11" s="127">
        <v>596</v>
      </c>
      <c r="C11" s="127">
        <v>524</v>
      </c>
      <c r="D11" s="127">
        <v>551</v>
      </c>
    </row>
    <row r="12" spans="1:4">
      <c r="A12" s="127" t="s">
        <v>180</v>
      </c>
      <c r="B12" s="127">
        <v>593</v>
      </c>
      <c r="C12" s="127">
        <v>524</v>
      </c>
      <c r="D12" s="127">
        <v>551</v>
      </c>
    </row>
    <row r="13" spans="1:4">
      <c r="A13" s="127" t="s">
        <v>181</v>
      </c>
      <c r="B13" s="127">
        <v>590</v>
      </c>
      <c r="C13" s="127">
        <v>523</v>
      </c>
      <c r="D13" s="127">
        <v>548</v>
      </c>
    </row>
    <row r="14" spans="1:4">
      <c r="A14" s="127" t="s">
        <v>182</v>
      </c>
      <c r="B14" s="127">
        <v>600</v>
      </c>
      <c r="C14" s="127">
        <v>538</v>
      </c>
      <c r="D14" s="127">
        <v>561</v>
      </c>
    </row>
    <row r="15" spans="1:4">
      <c r="A15" s="127" t="s">
        <v>183</v>
      </c>
      <c r="B15" s="127">
        <v>608</v>
      </c>
      <c r="C15" s="127">
        <v>554</v>
      </c>
      <c r="D15" s="127">
        <v>573</v>
      </c>
    </row>
    <row r="16" spans="1:4">
      <c r="A16" s="127" t="s">
        <v>184</v>
      </c>
      <c r="B16" s="127">
        <v>605</v>
      </c>
      <c r="C16" s="127">
        <v>549</v>
      </c>
      <c r="D16" s="127">
        <v>569</v>
      </c>
    </row>
    <row r="17" spans="1:4">
      <c r="A17" s="127" t="s">
        <v>185</v>
      </c>
      <c r="B17" s="127">
        <v>600</v>
      </c>
      <c r="C17" s="127">
        <v>546</v>
      </c>
      <c r="D17" s="127">
        <v>565</v>
      </c>
    </row>
    <row r="18" spans="1:4">
      <c r="A18" s="127" t="s">
        <v>186</v>
      </c>
      <c r="B18" s="127">
        <v>600</v>
      </c>
      <c r="C18" s="127">
        <v>550</v>
      </c>
      <c r="D18" s="127">
        <v>569</v>
      </c>
    </row>
    <row r="19" spans="1:4">
      <c r="A19" s="127" t="s">
        <v>187</v>
      </c>
      <c r="B19" s="127">
        <v>605</v>
      </c>
      <c r="C19" s="127">
        <v>563</v>
      </c>
      <c r="D19" s="127">
        <v>581</v>
      </c>
    </row>
    <row r="20" spans="1:4">
      <c r="A20" s="127" t="s">
        <v>188</v>
      </c>
      <c r="B20" s="127">
        <v>605</v>
      </c>
      <c r="C20" s="127">
        <v>567</v>
      </c>
      <c r="D20" s="127">
        <v>584</v>
      </c>
    </row>
    <row r="21" spans="1:4">
      <c r="A21" s="127" t="s">
        <v>189</v>
      </c>
      <c r="B21" s="127">
        <v>610</v>
      </c>
      <c r="C21" s="127">
        <v>575</v>
      </c>
      <c r="D21" s="127">
        <v>592</v>
      </c>
    </row>
    <row r="22" spans="1:4">
      <c r="A22" s="127" t="s">
        <v>190</v>
      </c>
      <c r="B22" s="127">
        <v>615</v>
      </c>
      <c r="C22" s="127">
        <v>585</v>
      </c>
      <c r="D22" s="127">
        <v>597</v>
      </c>
    </row>
    <row r="23" spans="1:4">
      <c r="A23" s="127" t="s">
        <v>191</v>
      </c>
      <c r="B23" s="127">
        <v>625</v>
      </c>
      <c r="C23" s="127">
        <v>599</v>
      </c>
      <c r="D23" s="127">
        <v>611</v>
      </c>
    </row>
    <row r="24" spans="1:4">
      <c r="A24" s="127" t="s">
        <v>192</v>
      </c>
      <c r="B24" s="127">
        <v>630</v>
      </c>
      <c r="C24" s="127">
        <v>610</v>
      </c>
      <c r="D24" s="127">
        <v>615</v>
      </c>
    </row>
    <row r="25" spans="1:4">
      <c r="A25" s="127" t="s">
        <v>193</v>
      </c>
      <c r="B25" s="127">
        <v>628</v>
      </c>
      <c r="C25" s="127">
        <v>613</v>
      </c>
      <c r="D25" s="127">
        <v>617</v>
      </c>
    </row>
    <row r="26" spans="1:4">
      <c r="A26" s="127" t="s">
        <v>194</v>
      </c>
      <c r="B26" s="127">
        <v>634</v>
      </c>
      <c r="C26" s="127">
        <v>619</v>
      </c>
      <c r="D26" s="127">
        <v>620</v>
      </c>
    </row>
    <row r="27" spans="1:4">
      <c r="A27" s="127" t="s">
        <v>195</v>
      </c>
      <c r="B27" s="127">
        <v>640</v>
      </c>
      <c r="C27" s="127">
        <v>627</v>
      </c>
      <c r="D27" s="127">
        <v>631</v>
      </c>
    </row>
    <row r="28" spans="1:4">
      <c r="A28" s="127" t="s">
        <v>196</v>
      </c>
      <c r="B28" s="127">
        <v>638</v>
      </c>
      <c r="C28" s="127">
        <v>622</v>
      </c>
      <c r="D28" s="127">
        <v>628</v>
      </c>
    </row>
    <row r="29" spans="1:4">
      <c r="A29" s="127" t="s">
        <v>197</v>
      </c>
      <c r="B29" s="127">
        <v>647</v>
      </c>
      <c r="C29" s="127">
        <v>630</v>
      </c>
      <c r="D29" s="127">
        <v>637</v>
      </c>
    </row>
    <row r="30" spans="1:4">
      <c r="A30" s="127" t="s">
        <v>198</v>
      </c>
      <c r="B30" s="127">
        <v>640</v>
      </c>
      <c r="C30" s="127">
        <v>617</v>
      </c>
      <c r="D30" s="127">
        <v>630</v>
      </c>
    </row>
    <row r="31" spans="1:4">
      <c r="A31" s="127" t="s">
        <v>199</v>
      </c>
      <c r="B31" s="127">
        <v>645</v>
      </c>
      <c r="C31" s="127">
        <v>621</v>
      </c>
      <c r="D31" s="127">
        <v>633</v>
      </c>
    </row>
    <row r="32" spans="1:4">
      <c r="A32" s="127" t="s">
        <v>200</v>
      </c>
      <c r="B32" s="127">
        <v>640</v>
      </c>
      <c r="C32" s="127">
        <v>614</v>
      </c>
      <c r="D32" s="127">
        <v>628</v>
      </c>
    </row>
    <row r="33" spans="1:4">
      <c r="A33" s="127" t="s">
        <v>201</v>
      </c>
      <c r="B33" s="127">
        <v>634</v>
      </c>
      <c r="C33" s="127">
        <v>611</v>
      </c>
      <c r="D33" s="127">
        <v>619</v>
      </c>
    </row>
    <row r="34" spans="1:4">
      <c r="A34" s="127" t="s">
        <v>202</v>
      </c>
      <c r="B34" s="127">
        <v>644</v>
      </c>
      <c r="C34" s="127">
        <v>631</v>
      </c>
      <c r="D34" s="127">
        <v>629</v>
      </c>
    </row>
    <row r="35" spans="1:4">
      <c r="A35" s="127" t="s">
        <v>203</v>
      </c>
      <c r="B35" s="127">
        <v>649</v>
      </c>
      <c r="C35" s="127">
        <v>638</v>
      </c>
      <c r="D35" s="127">
        <v>631</v>
      </c>
    </row>
    <row r="36" spans="1:4">
      <c r="A36" s="127" t="s">
        <v>204</v>
      </c>
      <c r="B36" s="127">
        <v>653</v>
      </c>
      <c r="C36" s="127">
        <v>644</v>
      </c>
      <c r="D36" s="127">
        <v>634</v>
      </c>
    </row>
    <row r="37" spans="1:4">
      <c r="A37" s="127" t="s">
        <v>205</v>
      </c>
      <c r="B37" s="127">
        <v>653</v>
      </c>
      <c r="C37" s="127">
        <v>644</v>
      </c>
      <c r="D37" s="127">
        <v>634</v>
      </c>
    </row>
    <row r="38" spans="1:4">
      <c r="A38" s="127" t="s">
        <v>206</v>
      </c>
      <c r="B38" s="127">
        <v>667</v>
      </c>
      <c r="C38" s="127">
        <v>658</v>
      </c>
      <c r="D38" s="127">
        <v>647</v>
      </c>
    </row>
    <row r="39" spans="1:4">
      <c r="A39" s="127" t="s">
        <v>207</v>
      </c>
      <c r="B39" s="127">
        <v>682</v>
      </c>
      <c r="C39" s="127">
        <v>676</v>
      </c>
      <c r="D39" s="127">
        <v>661</v>
      </c>
    </row>
    <row r="40" spans="1:4">
      <c r="A40" s="127" t="s">
        <v>208</v>
      </c>
      <c r="B40" s="127">
        <v>676</v>
      </c>
      <c r="C40" s="127">
        <v>671</v>
      </c>
      <c r="D40" s="127">
        <v>656</v>
      </c>
    </row>
    <row r="41" spans="1:4">
      <c r="A41" s="127" t="s">
        <v>209</v>
      </c>
      <c r="B41" s="127">
        <v>664</v>
      </c>
      <c r="C41" s="127">
        <v>645</v>
      </c>
      <c r="D41" s="127">
        <v>630</v>
      </c>
    </row>
    <row r="42" spans="1:4">
      <c r="A42" s="127" t="s">
        <v>210</v>
      </c>
      <c r="B42" s="127">
        <v>684</v>
      </c>
      <c r="C42" s="127">
        <v>663</v>
      </c>
      <c r="D42" s="127">
        <v>650</v>
      </c>
    </row>
    <row r="43" spans="1:4">
      <c r="A43" s="127" t="s">
        <v>211</v>
      </c>
      <c r="B43" s="127">
        <v>700</v>
      </c>
      <c r="C43" s="127">
        <v>685</v>
      </c>
      <c r="D43" s="127">
        <v>673</v>
      </c>
    </row>
    <row r="44" spans="1:4">
      <c r="A44" s="127" t="s">
        <v>212</v>
      </c>
      <c r="B44" s="127">
        <v>690</v>
      </c>
      <c r="C44" s="127">
        <v>673</v>
      </c>
      <c r="D44" s="127">
        <v>662</v>
      </c>
    </row>
    <row r="45" spans="1:4">
      <c r="A45" s="127" t="s">
        <v>213</v>
      </c>
      <c r="B45" s="127">
        <v>695</v>
      </c>
      <c r="C45" s="127">
        <v>680</v>
      </c>
      <c r="D45" s="127">
        <v>664</v>
      </c>
    </row>
    <row r="46" spans="1:4">
      <c r="A46" s="127" t="s">
        <v>214</v>
      </c>
      <c r="B46" s="127">
        <v>695</v>
      </c>
      <c r="C46" s="127">
        <v>677</v>
      </c>
      <c r="D46" s="127">
        <v>651</v>
      </c>
    </row>
    <row r="47" spans="1:4">
      <c r="A47" s="127" t="s">
        <v>215</v>
      </c>
      <c r="B47" s="127">
        <v>694</v>
      </c>
      <c r="C47" s="127">
        <v>676</v>
      </c>
      <c r="D47" s="127">
        <v>652</v>
      </c>
    </row>
    <row r="48" spans="1:4">
      <c r="A48" s="127" t="s">
        <v>216</v>
      </c>
      <c r="B48" s="127">
        <v>704</v>
      </c>
      <c r="C48" s="127">
        <v>689</v>
      </c>
      <c r="D48" s="127">
        <v>669</v>
      </c>
    </row>
  </sheetData>
  <phoneticPr fontId="11" type="noConversion"/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2a62a5d-c671-4f59-8453-00a85cb6d91a"/>
    <ds:schemaRef ds:uri="3c1da50d-9398-43ae-99ce-979307744be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Figure 6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REE-ERS, Kansas City, MO</cp:lastModifiedBy>
  <cp:revision/>
  <dcterms:created xsi:type="dcterms:W3CDTF">2001-11-13T16:22:15Z</dcterms:created>
  <dcterms:modified xsi:type="dcterms:W3CDTF">2022-03-10T22:22:22Z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