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agcc.sharepoint.com/sites/REE-ERS-MTEDopenteamandtrainingmaterials-OilCrops/Shared Documents/Oil Crops/January 2022/"/>
    </mc:Choice>
  </mc:AlternateContent>
  <xr:revisionPtr revIDLastSave="2" documentId="8_{94BD92FF-565A-454F-A6F9-8296EC1A3ECF}" xr6:coauthVersionLast="46" xr6:coauthVersionMax="46" xr10:uidLastSave="{2591979E-CAEF-449B-B37C-AB3A474ACB7A}"/>
  <bookViews>
    <workbookView xWindow="420" yWindow="1080" windowWidth="21000" windowHeight="10992" tabRatio="682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Figure 1" sheetId="47" r:id="rId9"/>
    <sheet name="Figure 2" sheetId="43" r:id="rId10"/>
    <sheet name="Figure 3" sheetId="52" r:id="rId11"/>
    <sheet name="Figure 4" sheetId="53" r:id="rId12"/>
  </sheets>
  <definedNames>
    <definedName name="_xlnm.Print_Area" localSheetId="1">'Table 1'!$A$1:$N$36</definedName>
    <definedName name="_xlnm.Print_Area" localSheetId="7">'Table 10'!$A$1:$G$39</definedName>
    <definedName name="_xlnm.Print_Area" localSheetId="2">'Table 2'!$A$1:$J$29</definedName>
    <definedName name="_xlnm.Print_Area" localSheetId="3">'Table 3'!$A$1:$L$42</definedName>
    <definedName name="_xlnm.Print_Area" localSheetId="5">'Table 8'!$A$1:$G$37</definedName>
    <definedName name="_xlnm.Print_Area" localSheetId="6">'Table 9'!$A$1:$I$39</definedName>
    <definedName name="_xlnm.Print_Area" localSheetId="4">'Tables 4-7'!$A$1:$O$52</definedName>
    <definedName name="WASDE_Updated" localSheetId="0">Contents!#REF!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J27" i="9" l="1"/>
  <c r="D27" i="9"/>
  <c r="D27" i="2"/>
  <c r="E27" i="2" s="1"/>
  <c r="I27" i="2" s="1"/>
  <c r="H27" i="2"/>
  <c r="L33" i="1"/>
  <c r="L34" i="1" s="1"/>
  <c r="G33" i="1"/>
  <c r="G34" i="1" s="1"/>
  <c r="E27" i="9"/>
  <c r="K27" i="9" s="1"/>
  <c r="B27" i="9"/>
  <c r="B27" i="2"/>
  <c r="J33" i="1"/>
  <c r="J34" i="1"/>
  <c r="I26" i="9"/>
  <c r="I11" i="9"/>
  <c r="I12" i="9"/>
  <c r="I13" i="9"/>
  <c r="I14" i="9"/>
  <c r="I15" i="9"/>
  <c r="I16" i="9"/>
  <c r="G11" i="9"/>
  <c r="G12" i="9"/>
  <c r="G13" i="9"/>
  <c r="G14" i="9"/>
  <c r="G15" i="9"/>
  <c r="G16" i="9"/>
  <c r="G17" i="9"/>
  <c r="H7" i="9"/>
  <c r="J7" i="9"/>
  <c r="G27" i="9" l="1"/>
  <c r="G27" i="2"/>
  <c r="J26" i="9"/>
  <c r="D26" i="9"/>
  <c r="H26" i="2"/>
  <c r="D26" i="2"/>
  <c r="L32" i="1"/>
  <c r="G32" i="1"/>
  <c r="J32" i="1" l="1"/>
  <c r="E34" i="1" l="1"/>
  <c r="H34" i="1" s="1"/>
  <c r="M34" i="1" s="1"/>
  <c r="K34" i="1" s="1"/>
  <c r="E26" i="9"/>
  <c r="K26" i="9" s="1"/>
  <c r="G26" i="9" s="1"/>
  <c r="B26" i="9"/>
  <c r="E26" i="2"/>
  <c r="I26" i="2" s="1"/>
  <c r="G26" i="2" s="1"/>
  <c r="B26" i="2"/>
  <c r="B21" i="3" l="1"/>
  <c r="B20" i="3"/>
  <c r="D20" i="9" l="1"/>
  <c r="D17" i="9"/>
  <c r="D16" i="9"/>
  <c r="D15" i="9"/>
  <c r="D14" i="9"/>
  <c r="D13" i="9"/>
  <c r="D12" i="9"/>
  <c r="D11" i="9"/>
  <c r="J22" i="9"/>
  <c r="D22" i="9"/>
  <c r="H22" i="2"/>
  <c r="D22" i="2"/>
  <c r="L31" i="1"/>
  <c r="G31" i="1"/>
  <c r="J31" i="1" l="1"/>
  <c r="L7" i="9" l="1"/>
  <c r="H23" i="9"/>
  <c r="C23" i="9"/>
  <c r="C7" i="9" s="1"/>
  <c r="B22" i="9"/>
  <c r="E22" i="9" s="1"/>
  <c r="K22" i="9" s="1"/>
  <c r="G22" i="9" s="1"/>
  <c r="I22" i="9" s="1"/>
  <c r="J7" i="2"/>
  <c r="H6" i="1"/>
  <c r="M6" i="1" s="1"/>
  <c r="K6" i="1" s="1"/>
  <c r="N7" i="1"/>
  <c r="C23" i="2"/>
  <c r="C7" i="2" s="1"/>
  <c r="B22" i="2"/>
  <c r="E22" i="2" s="1"/>
  <c r="I22" i="2" s="1"/>
  <c r="G22" i="2" s="1"/>
  <c r="D6" i="1"/>
  <c r="J21" i="9"/>
  <c r="D21" i="9"/>
  <c r="H21" i="2"/>
  <c r="D21" i="2"/>
  <c r="L26" i="1"/>
  <c r="G26" i="1"/>
  <c r="J26" i="1" l="1"/>
  <c r="J25" i="1"/>
  <c r="B21" i="9" l="1"/>
  <c r="E21" i="9" s="1"/>
  <c r="K21" i="9" s="1"/>
  <c r="G21" i="9" s="1"/>
  <c r="I21" i="9" s="1"/>
  <c r="B21" i="2"/>
  <c r="E21" i="2" s="1"/>
  <c r="I21" i="2" s="1"/>
  <c r="G21" i="2" s="1"/>
  <c r="E27" i="1"/>
  <c r="I31" i="3"/>
  <c r="G31" i="3"/>
  <c r="E31" i="3"/>
  <c r="J6" i="3"/>
  <c r="I19" i="3"/>
  <c r="H44" i="3"/>
  <c r="D44" i="3"/>
  <c r="J20" i="9" l="1"/>
  <c r="B20" i="9"/>
  <c r="E20" i="9" s="1"/>
  <c r="K20" i="9" s="1"/>
  <c r="H20" i="2"/>
  <c r="D20" i="2"/>
  <c r="B20" i="2"/>
  <c r="E20" i="2" s="1"/>
  <c r="I20" i="2" s="1"/>
  <c r="L25" i="1"/>
  <c r="G25" i="1"/>
  <c r="G20" i="9" l="1"/>
  <c r="G20" i="2"/>
  <c r="I20" i="9" l="1"/>
  <c r="D46" i="3"/>
  <c r="B8" i="9"/>
  <c r="B7" i="9"/>
  <c r="D8" i="1"/>
  <c r="J19" i="9"/>
  <c r="D19" i="9"/>
  <c r="H19" i="2"/>
  <c r="D19" i="2"/>
  <c r="E19" i="2" s="1"/>
  <c r="I19" i="2" s="1"/>
  <c r="G19" i="2" s="1"/>
  <c r="L24" i="1"/>
  <c r="L27" i="1" s="1"/>
  <c r="G24" i="1"/>
  <c r="G27" i="1" s="1"/>
  <c r="H27" i="1" s="1"/>
  <c r="M27" i="1" s="1"/>
  <c r="B19" i="9"/>
  <c r="B19" i="2"/>
  <c r="J24" i="1"/>
  <c r="J27" i="1" s="1"/>
  <c r="E19" i="9" l="1"/>
  <c r="K19" i="9" s="1"/>
  <c r="K27" i="1"/>
  <c r="G19" i="9"/>
  <c r="L44" i="3"/>
  <c r="J18" i="9"/>
  <c r="J17" i="9"/>
  <c r="J16" i="9"/>
  <c r="J15" i="9"/>
  <c r="J14" i="9"/>
  <c r="J13" i="9"/>
  <c r="J12" i="9"/>
  <c r="J11" i="9"/>
  <c r="D18" i="9"/>
  <c r="D23" i="9" s="1"/>
  <c r="D7" i="9" s="1"/>
  <c r="J23" i="9" l="1"/>
  <c r="I19" i="9"/>
  <c r="H18" i="2"/>
  <c r="H17" i="2"/>
  <c r="H16" i="2"/>
  <c r="H15" i="2"/>
  <c r="H14" i="2"/>
  <c r="H13" i="2"/>
  <c r="H12" i="2"/>
  <c r="H11" i="2"/>
  <c r="D18" i="2"/>
  <c r="D17" i="2"/>
  <c r="D16" i="2"/>
  <c r="D15" i="2"/>
  <c r="D14" i="2"/>
  <c r="D13" i="2"/>
  <c r="D12" i="2"/>
  <c r="D11" i="2"/>
  <c r="H23" i="2" l="1"/>
  <c r="H7" i="2" s="1"/>
  <c r="D23" i="2"/>
  <c r="D7" i="2" s="1"/>
  <c r="L22" i="1"/>
  <c r="L21" i="1"/>
  <c r="L20" i="1"/>
  <c r="L18" i="1"/>
  <c r="L17" i="1"/>
  <c r="L16" i="1"/>
  <c r="L14" i="1"/>
  <c r="L13" i="1"/>
  <c r="L12" i="1"/>
  <c r="G22" i="1"/>
  <c r="G21" i="1"/>
  <c r="G20" i="1"/>
  <c r="G18" i="1"/>
  <c r="G17" i="1"/>
  <c r="G16" i="1"/>
  <c r="G14" i="1"/>
  <c r="G13" i="1"/>
  <c r="G12" i="1"/>
  <c r="J22" i="1"/>
  <c r="J21" i="1"/>
  <c r="J20" i="1"/>
  <c r="J18" i="1"/>
  <c r="J17" i="1"/>
  <c r="J16" i="1"/>
  <c r="J14" i="1"/>
  <c r="J13" i="1"/>
  <c r="J12" i="1"/>
  <c r="I6" i="1" l="1"/>
  <c r="I17" i="9" l="1"/>
  <c r="B18" i="9"/>
  <c r="B18" i="2"/>
  <c r="E18" i="2" s="1"/>
  <c r="E23" i="1"/>
  <c r="G23" i="1"/>
  <c r="H23" i="1" l="1"/>
  <c r="M23" i="1" s="1"/>
  <c r="E18" i="9"/>
  <c r="K18" i="9" s="1"/>
  <c r="G18" i="9" s="1"/>
  <c r="G23" i="9" s="1"/>
  <c r="G7" i="9" s="1"/>
  <c r="I18" i="2"/>
  <c r="G18" i="2" s="1"/>
  <c r="B30" i="9"/>
  <c r="I18" i="9" l="1"/>
  <c r="I23" i="9" s="1"/>
  <c r="I7" i="9" s="1"/>
  <c r="I21" i="3"/>
  <c r="I20" i="3"/>
  <c r="B8" i="2" l="1"/>
  <c r="L23" i="1" l="1"/>
  <c r="B17" i="9" l="1"/>
  <c r="E17" i="9" s="1"/>
  <c r="J23" i="1"/>
  <c r="K23" i="1" s="1"/>
  <c r="B17" i="2"/>
  <c r="E17" i="2" s="1"/>
  <c r="K17" i="9" l="1"/>
  <c r="I17" i="2"/>
  <c r="G17" i="2" l="1"/>
  <c r="A16" i="10" l="1"/>
  <c r="B16" i="9" l="1"/>
  <c r="E16" i="9" s="1"/>
  <c r="K16" i="9" s="1"/>
  <c r="B16" i="2"/>
  <c r="E16" i="2"/>
  <c r="E8" i="2"/>
  <c r="E8" i="9"/>
  <c r="K8" i="9" s="1"/>
  <c r="G8" i="9" s="1"/>
  <c r="I8" i="9" s="1"/>
  <c r="I8" i="2" l="1"/>
  <c r="G8" i="2" s="1"/>
  <c r="I16" i="2"/>
  <c r="G16" i="2" s="1"/>
  <c r="B8" i="3"/>
  <c r="E8" i="3" s="1"/>
  <c r="E21" i="3"/>
  <c r="B33" i="3"/>
  <c r="E46" i="3"/>
  <c r="H46" i="3" s="1"/>
  <c r="D45" i="3"/>
  <c r="N46" i="3" l="1"/>
  <c r="L46" i="3" s="1"/>
  <c r="E33" i="3"/>
  <c r="I33" i="3" s="1"/>
  <c r="G33" i="3" s="1"/>
  <c r="B15" i="2"/>
  <c r="E19" i="1"/>
  <c r="E15" i="2" l="1"/>
  <c r="I15" i="2" l="1"/>
  <c r="G15" i="2" s="1"/>
  <c r="E20" i="3"/>
  <c r="B15" i="9"/>
  <c r="E15" i="9" s="1"/>
  <c r="K15" i="9" s="1"/>
  <c r="B40" i="5" l="1"/>
  <c r="L19" i="1" l="1"/>
  <c r="G19" i="1"/>
  <c r="H19" i="1" s="1"/>
  <c r="M19" i="1" s="1"/>
  <c r="B14" i="2" l="1"/>
  <c r="E14" i="2" s="1"/>
  <c r="B14" i="9"/>
  <c r="E14" i="9" s="1"/>
  <c r="K14" i="9" s="1"/>
  <c r="J19" i="1"/>
  <c r="F28" i="1"/>
  <c r="F7" i="1" s="1"/>
  <c r="I14" i="2" l="1"/>
  <c r="K19" i="1"/>
  <c r="G14" i="2" l="1"/>
  <c r="B13" i="9" l="1"/>
  <c r="E13" i="9" s="1"/>
  <c r="K13" i="9" s="1"/>
  <c r="B13" i="2" l="1"/>
  <c r="E13" i="2" s="1"/>
  <c r="I13" i="2" l="1"/>
  <c r="G13" i="2" s="1"/>
  <c r="L15" i="1"/>
  <c r="L28" i="1" s="1"/>
  <c r="L7" i="1" s="1"/>
  <c r="B12" i="9" l="1"/>
  <c r="E12" i="9" s="1"/>
  <c r="K12" i="9" s="1"/>
  <c r="B12" i="2"/>
  <c r="E12" i="2" s="1"/>
  <c r="I12" i="2" l="1"/>
  <c r="G12" i="2" s="1"/>
  <c r="J15" i="1"/>
  <c r="J28" i="1" s="1"/>
  <c r="J7" i="1" s="1"/>
  <c r="E23" i="2"/>
  <c r="E7" i="2" s="1"/>
  <c r="G15" i="1" l="1"/>
  <c r="G28" i="1" s="1"/>
  <c r="G7" i="1" s="1"/>
  <c r="E23" i="9" l="1"/>
  <c r="E7" i="9" s="1"/>
  <c r="K7" i="9" s="1"/>
  <c r="E45" i="3" l="1"/>
  <c r="H45" i="3" s="1"/>
  <c r="B32" i="3"/>
  <c r="E32" i="3" s="1"/>
  <c r="B7" i="3"/>
  <c r="E7" i="3" s="1"/>
  <c r="J7" i="3" s="1"/>
  <c r="N45" i="3" l="1"/>
  <c r="L45" i="3" s="1"/>
  <c r="I32" i="3"/>
  <c r="G32" i="3" s="1"/>
  <c r="D7" i="1" l="1"/>
  <c r="B50" i="3" l="1"/>
  <c r="E11" i="9" l="1"/>
  <c r="E11" i="2"/>
  <c r="B37" i="1"/>
  <c r="K11" i="9" l="1"/>
  <c r="K23" i="9" s="1"/>
  <c r="I11" i="2"/>
  <c r="I23" i="2" s="1"/>
  <c r="I7" i="2" s="1"/>
  <c r="G11" i="2"/>
  <c r="G23" i="2" s="1"/>
  <c r="G7" i="2" s="1"/>
  <c r="B41" i="6" l="1"/>
  <c r="B39" i="4"/>
  <c r="B30" i="2"/>
  <c r="B7" i="2" l="1"/>
  <c r="J8" i="3" l="1"/>
  <c r="E7" i="1" l="1"/>
  <c r="H7" i="1" s="1"/>
  <c r="M7" i="1" s="1"/>
  <c r="K7" i="1" s="1"/>
  <c r="E15" i="1"/>
  <c r="H15" i="1" s="1"/>
  <c r="M15" i="1" s="1"/>
  <c r="H28" i="1" l="1"/>
  <c r="M28" i="1"/>
  <c r="K15" i="1"/>
  <c r="K28" i="1" s="1"/>
  <c r="E8" i="1" s="1"/>
  <c r="H8" i="1" s="1"/>
  <c r="M8" i="1" s="1"/>
  <c r="K8" i="1" s="1"/>
</calcChain>
</file>

<file path=xl/sharedStrings.xml><?xml version="1.0" encoding="utf-8"?>
<sst xmlns="http://schemas.openxmlformats.org/spreadsheetml/2006/main" count="500" uniqueCount="179">
  <si>
    <t>Oil Crops Outlook Tables</t>
  </si>
  <si>
    <t>Table 1—Soybeans: U.S. supply and disappearance</t>
  </si>
  <si>
    <t>Table 2—Soybean meal: U.S. supply and disappearance</t>
  </si>
  <si>
    <t>Table 3—Soybean oil: U.S. supply and disappearance</t>
  </si>
  <si>
    <t>Table 4—Cottonseed: U.S. supply and disappearance</t>
  </si>
  <si>
    <t>Table 5—Cottonseed meal: U.S. supply and disappearance</t>
  </si>
  <si>
    <t>Table 6—Cottonseed oil: U.S. supply and disappearance</t>
  </si>
  <si>
    <t>Table 7—Peanuts: U.S. supply and disappearance</t>
  </si>
  <si>
    <t>Table 8—Oilseed prices received by U.S. farmers</t>
  </si>
  <si>
    <t>Table 9—U.S. vegetable oil and fats prices</t>
  </si>
  <si>
    <t xml:space="preserve">Table 10—U.S. oilseed meal prices </t>
  </si>
  <si>
    <t>Last update</t>
  </si>
  <si>
    <t>Area</t>
  </si>
  <si>
    <t>Yield</t>
  </si>
  <si>
    <t>Supply</t>
  </si>
  <si>
    <t>Use</t>
  </si>
  <si>
    <t>Year beginning</t>
  </si>
  <si>
    <t>Planted</t>
  </si>
  <si>
    <t>Harvested</t>
  </si>
  <si>
    <t>Beginning</t>
  </si>
  <si>
    <t>Crush</t>
  </si>
  <si>
    <t>Seed &amp;</t>
  </si>
  <si>
    <t>Ending</t>
  </si>
  <si>
    <t>September 1</t>
  </si>
  <si>
    <t>stocks</t>
  </si>
  <si>
    <t>Production</t>
  </si>
  <si>
    <t>Imports</t>
  </si>
  <si>
    <t>Total</t>
  </si>
  <si>
    <t>Exports</t>
  </si>
  <si>
    <t>Million acres</t>
  </si>
  <si>
    <t>Bushels per acre</t>
  </si>
  <si>
    <t>---------------------------------------------Million bushels----------------------------------------------------------</t>
  </si>
  <si>
    <t>2019/20</t>
  </si>
  <si>
    <r>
      <t>2020/21</t>
    </r>
    <r>
      <rPr>
        <vertAlign val="superscript"/>
        <sz val="11"/>
        <rFont val="Arial"/>
        <family val="2"/>
      </rPr>
      <t>1</t>
    </r>
  </si>
  <si>
    <r>
      <t>2021/22</t>
    </r>
    <r>
      <rPr>
        <vertAlign val="superscript"/>
        <sz val="11"/>
        <rFont val="Arial"/>
        <family val="2"/>
      </rPr>
      <t>2</t>
    </r>
  </si>
  <si>
    <t>Soybeans: Quarterly U.S. supply and disappearance</t>
  </si>
  <si>
    <t>2020/21</t>
  </si>
  <si>
    <t>September</t>
  </si>
  <si>
    <t>October</t>
  </si>
  <si>
    <t>November</t>
  </si>
  <si>
    <t xml:space="preserve">  September–November</t>
  </si>
  <si>
    <t>December</t>
  </si>
  <si>
    <t>January</t>
  </si>
  <si>
    <t>February</t>
  </si>
  <si>
    <t xml:space="preserve">  December–February</t>
  </si>
  <si>
    <t>March</t>
  </si>
  <si>
    <t>April</t>
  </si>
  <si>
    <t>May</t>
  </si>
  <si>
    <t xml:space="preserve">  March–May</t>
  </si>
  <si>
    <t>June</t>
  </si>
  <si>
    <t>July</t>
  </si>
  <si>
    <t>August</t>
  </si>
  <si>
    <t xml:space="preserve">  June–August</t>
  </si>
  <si>
    <t>2021/22</t>
  </si>
  <si>
    <t>Total to Date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</si>
  <si>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>, and</t>
    </r>
    <r>
      <rPr>
        <i/>
        <sz val="11"/>
        <rFont val="Arial"/>
        <family val="2"/>
      </rPr>
      <t xml:space="preserve"> Grain Stocks</t>
    </r>
    <r>
      <rPr>
        <sz val="11"/>
        <rFont val="Arial"/>
        <family val="2"/>
      </rPr>
      <t xml:space="preserve">; and U.S. Department of Commerce, Bureau of the Census, </t>
    </r>
    <r>
      <rPr>
        <i/>
        <sz val="11"/>
        <rFont val="Arial"/>
        <family val="2"/>
      </rPr>
      <t>Foreign Trade Statistics</t>
    </r>
    <r>
      <rPr>
        <sz val="11"/>
        <rFont val="Arial"/>
        <family val="2"/>
      </rPr>
      <t>.</t>
    </r>
  </si>
  <si>
    <t>Last update:</t>
  </si>
  <si>
    <t xml:space="preserve">          Supply</t>
  </si>
  <si>
    <t>Disappearance</t>
  </si>
  <si>
    <t xml:space="preserve">Ending </t>
  </si>
  <si>
    <t>October 1</t>
  </si>
  <si>
    <t xml:space="preserve">stocks </t>
  </si>
  <si>
    <t xml:space="preserve">Total  </t>
  </si>
  <si>
    <t xml:space="preserve">Domestic </t>
  </si>
  <si>
    <t xml:space="preserve">Exports  </t>
  </si>
  <si>
    <t xml:space="preserve"> stocks </t>
  </si>
  <si>
    <t xml:space="preserve">     -------------------------------------------- 1,000 short tons--------------------------------------------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</si>
  <si>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</si>
  <si>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t xml:space="preserve">Beginning </t>
  </si>
  <si>
    <t xml:space="preserve">Imports </t>
  </si>
  <si>
    <t xml:space="preserve">Exports </t>
  </si>
  <si>
    <r>
      <t>Biofuel</t>
    </r>
    <r>
      <rPr>
        <vertAlign val="superscript"/>
        <sz val="11"/>
        <rFont val="Arial"/>
        <family val="2"/>
      </rPr>
      <t>3</t>
    </r>
  </si>
  <si>
    <t>Food &amp; other</t>
  </si>
  <si>
    <t>Million pounds</t>
  </si>
  <si>
    <t>NA</t>
  </si>
  <si>
    <t>August 1</t>
  </si>
  <si>
    <t xml:space="preserve">stocks  </t>
  </si>
  <si>
    <t xml:space="preserve">  Total  </t>
  </si>
  <si>
    <t xml:space="preserve">Crush </t>
  </si>
  <si>
    <t xml:space="preserve">Other </t>
  </si>
  <si>
    <t xml:space="preserve">Total </t>
  </si>
  <si>
    <t xml:space="preserve">     1,000 short tons</t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</si>
  <si>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</si>
  <si>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Production; </t>
    </r>
    <r>
      <rPr>
        <sz val="11"/>
        <rFont val="Arial"/>
        <family val="2"/>
      </rPr>
      <t>and U.S. Department of Commerce,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</si>
  <si>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</si>
  <si>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>Domestic</t>
  </si>
  <si>
    <t xml:space="preserve">  1,000 short tons</t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</si>
  <si>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Distribution.</t>
    </r>
  </si>
  <si>
    <t>Million Pounds</t>
  </si>
  <si>
    <t xml:space="preserve">food </t>
  </si>
  <si>
    <t>residual</t>
  </si>
  <si>
    <t>1,000 acres</t>
  </si>
  <si>
    <t>Pounds/acre</t>
  </si>
  <si>
    <t xml:space="preserve">      Million pounds</t>
  </si>
  <si>
    <r>
      <t xml:space="preserve">Sources: USDA, National Agricultural Statistics Service, </t>
    </r>
    <r>
      <rPr>
        <i/>
        <sz val="11"/>
        <rFont val="Arial"/>
        <family val="2"/>
      </rPr>
      <t>Crop Production,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Processing; </t>
    </r>
    <r>
      <rPr>
        <sz val="11"/>
        <rFont val="Arial"/>
        <family val="2"/>
      </rPr>
      <t>and U.S. Department of Commerce,</t>
    </r>
  </si>
  <si>
    <t>Marketing</t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</si>
  <si>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</si>
  <si>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</si>
  <si>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</si>
  <si>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</si>
  <si>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</si>
  <si>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</si>
  <si>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t>year</t>
  </si>
  <si>
    <t xml:space="preserve">Dollars per bushel </t>
  </si>
  <si>
    <t xml:space="preserve">Dollars per short ton  </t>
  </si>
  <si>
    <t>Dollars per hundredweight</t>
  </si>
  <si>
    <t>Cents per pound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</si>
  <si>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</si>
  <si>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</si>
  <si>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</si>
  <si>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</si>
  <si>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</si>
  <si>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</si>
  <si>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</si>
  <si>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</si>
  <si>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</si>
  <si>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r>
      <t>2020/21</t>
    </r>
    <r>
      <rPr>
        <vertAlign val="superscript"/>
        <sz val="11"/>
        <rFont val="Arial"/>
        <family val="2"/>
      </rPr>
      <t>4</t>
    </r>
  </si>
  <si>
    <r>
      <t>2021/22</t>
    </r>
    <r>
      <rPr>
        <vertAlign val="superscript"/>
        <sz val="11"/>
        <rFont val="Arial"/>
        <family val="2"/>
      </rPr>
      <t>4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</si>
  <si>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</si>
  <si>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t xml:space="preserve">Soybean </t>
  </si>
  <si>
    <t>Cottonseed</t>
  </si>
  <si>
    <t>Sunflowerseed</t>
  </si>
  <si>
    <t>Canola</t>
  </si>
  <si>
    <t xml:space="preserve">Peanut </t>
  </si>
  <si>
    <t xml:space="preserve">Corn  </t>
  </si>
  <si>
    <r>
      <t xml:space="preserve">Lard </t>
    </r>
    <r>
      <rPr>
        <vertAlign val="superscript"/>
        <sz val="11"/>
        <rFont val="Arial"/>
        <family val="2"/>
      </rPr>
      <t xml:space="preserve">5  </t>
    </r>
  </si>
  <si>
    <t xml:space="preserve">Edible  </t>
  </si>
  <si>
    <r>
      <t xml:space="preserve">oil </t>
    </r>
    <r>
      <rPr>
        <vertAlign val="superscript"/>
        <sz val="11"/>
        <rFont val="Arial"/>
        <family val="2"/>
      </rPr>
      <t xml:space="preserve">1 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</si>
  <si>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</si>
  <si>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</si>
  <si>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</si>
  <si>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tallow </t>
    </r>
    <r>
      <rPr>
        <vertAlign val="superscript"/>
        <sz val="11"/>
        <rFont val="Arial"/>
        <family val="2"/>
      </rPr>
      <t xml:space="preserve">5 </t>
    </r>
  </si>
  <si>
    <t>------------------------------------------------------- Cents per pound----------------------------------------------</t>
  </si>
  <si>
    <r>
      <t>2020/21</t>
    </r>
    <r>
      <rPr>
        <vertAlign val="superscript"/>
        <sz val="11"/>
        <rFont val="Arial"/>
        <family val="2"/>
      </rPr>
      <t>6</t>
    </r>
  </si>
  <si>
    <r>
      <t>2021/22</t>
    </r>
    <r>
      <rPr>
        <vertAlign val="superscript"/>
        <sz val="11"/>
        <rFont val="Arial"/>
        <family val="2"/>
      </rPr>
      <t>6</t>
    </r>
  </si>
  <si>
    <r>
      <rPr>
        <sz val="11"/>
        <rFont val="Arial"/>
        <family val="2"/>
      </rPr>
      <t xml:space="preserve">NA = Not available.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Midwest. 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</si>
  <si>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Chicago, IL.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Preliminary. </t>
    </r>
  </si>
  <si>
    <r>
      <t xml:space="preserve">Sources: USDA, Agricultural Marketing Service, </t>
    </r>
    <r>
      <rPr>
        <i/>
        <sz val="11"/>
        <rFont val="Arial"/>
        <family val="2"/>
      </rPr>
      <t>Monthly Feedstuff Prices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Tallow and Protein Report</t>
    </r>
    <r>
      <rPr>
        <sz val="11"/>
        <rFont val="Arial"/>
        <family val="2"/>
      </rPr>
      <t xml:space="preserve">; and Sosland Publishing, </t>
    </r>
    <r>
      <rPr>
        <i/>
        <sz val="11"/>
        <rFont val="Arial"/>
        <family val="2"/>
      </rPr>
      <t>Milling and Baking News</t>
    </r>
    <r>
      <rPr>
        <sz val="11"/>
        <rFont val="Arial"/>
        <family val="2"/>
      </rPr>
      <t>.</t>
    </r>
  </si>
  <si>
    <t xml:space="preserve">Canola  </t>
  </si>
  <si>
    <t xml:space="preserve">Linseed </t>
  </si>
  <si>
    <r>
      <t xml:space="preserve">meal </t>
    </r>
    <r>
      <rPr>
        <vertAlign val="superscript"/>
        <sz val="11"/>
        <rFont val="Arial"/>
        <family val="2"/>
      </rPr>
      <t xml:space="preserve">1 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</si>
  <si>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</si>
  <si>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</si>
  <si>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</si>
  <si>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</si>
  <si>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</si>
  <si>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t>--------------------------------------------------- Dollars per short ton------------------------------------------</t>
  </si>
  <si>
    <r>
      <t>2020/21</t>
    </r>
    <r>
      <rPr>
        <vertAlign val="superscript"/>
        <sz val="11"/>
        <rFont val="Arial"/>
        <family val="2"/>
      </rPr>
      <t>7</t>
    </r>
  </si>
  <si>
    <r>
      <t>2021/22</t>
    </r>
    <r>
      <rPr>
        <vertAlign val="superscript"/>
        <sz val="11"/>
        <rFont val="Arial"/>
        <family val="2"/>
      </rPr>
      <t>7</t>
    </r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</si>
  <si>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High-protein, Decatur, IL.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41-percent Memphis, TN.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34-percent North Dakota-Minnesota.</t>
    </r>
  </si>
  <si>
    <r>
      <t xml:space="preserve">Sources: USDA, Agricultural Marketing Service, </t>
    </r>
    <r>
      <rPr>
        <i/>
        <sz val="11"/>
        <rFont val="Arial"/>
        <family val="2"/>
      </rPr>
      <t>Monthly Feedstuff Prices.</t>
    </r>
  </si>
  <si>
    <t>Marketing year</t>
  </si>
  <si>
    <t>Month</t>
  </si>
  <si>
    <t>Contact: Aaron M. Ates; Maria Bukowski</t>
  </si>
  <si>
    <t>Domestic use</t>
  </si>
  <si>
    <t>2021/22p</t>
  </si>
  <si>
    <t>Argentina</t>
  </si>
  <si>
    <t>2016/2017</t>
  </si>
  <si>
    <t>2017/2018</t>
  </si>
  <si>
    <t>2018/2019</t>
  </si>
  <si>
    <t>2019/2020</t>
  </si>
  <si>
    <t>2020/2021</t>
  </si>
  <si>
    <t>2021/2022 (Dec)</t>
  </si>
  <si>
    <t>2021/2022 (Jan)</t>
  </si>
  <si>
    <t>Brazil</t>
  </si>
  <si>
    <t>United States</t>
  </si>
  <si>
    <t>2021/22 (Dec)</t>
  </si>
  <si>
    <t>2021/22 (Jan)</t>
  </si>
  <si>
    <r>
      <rPr>
        <sz val="11"/>
        <rFont val="Arial"/>
        <family val="2"/>
      </rPr>
      <t>NA = Not available.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Note: 1 metric ton equals 36.744 bushels and 1 hectare equals 2.471 acres.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</si>
  <si>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rPr>
        <sz val="11"/>
        <rFont val="Arial"/>
        <family val="2"/>
      </rPr>
      <t>NA = Not available. Note: 1 metric ton equals 1.10231 short tons.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</si>
  <si>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rPr>
        <sz val="11"/>
        <rFont val="Arial"/>
        <family val="2"/>
      </rPr>
      <t>NA = Not available. Note: 1 metric ton equals 2,204.622 pounds.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Prior year’s monthly biofuel data are estimated on yearly data.</t>
    </r>
  </si>
  <si>
    <r>
      <t>NA = Not available.</t>
    </r>
    <r>
      <rPr>
        <vertAlign val="superscript"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 September–August.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August–July.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July–June.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Preliminary. </t>
    </r>
  </si>
  <si>
    <r>
      <t>4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34-percent Minneapolis, MN.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Preliminary. </t>
    </r>
  </si>
  <si>
    <t>Rest of world</t>
  </si>
  <si>
    <t>Dollars per bushel ($/bu)</t>
  </si>
  <si>
    <t>Dollars per hundredweight ($/cwt)</t>
  </si>
  <si>
    <t xml:space="preserve">Soybeans </t>
  </si>
  <si>
    <t xml:space="preserve">Flaxseed </t>
  </si>
  <si>
    <t xml:space="preserve">Sunflowerseed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</si>
</sst>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"/>
    <numFmt numFmtId="170" formatCode="0.0000"/>
    <numFmt numFmtId="171" formatCode="_(* #,##0.00000_);_(* \(#,##0.00000\);_(* &quot;-&quot;??_);_(@_)"/>
    <numFmt numFmtId="172" formatCode="_(* #,##0.0_);_(* \(#,##0.0\);_(* &quot;-&quot;_);_(@_)"/>
    <numFmt numFmtId="173" formatCode="_(* #,##0.0000_);_(* \(#,##0.0000\);_(* &quot;-&quot;??_);_(@_)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sz val="10"/>
      <name val="Courier New"/>
      <family val="3"/>
    </font>
    <font>
      <u/>
      <sz val="11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3" fillId="0" borderId="0"/>
    <xf numFmtId="0" fontId="8" fillId="0" borderId="0"/>
    <xf numFmtId="0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0" fontId="10" fillId="0" borderId="0" xfId="8" applyFont="1"/>
    <xf numFmtId="0" fontId="11" fillId="0" borderId="0" xfId="8" applyFont="1"/>
    <xf numFmtId="0" fontId="16" fillId="0" borderId="0" xfId="8" applyFont="1" applyFill="1"/>
    <xf numFmtId="0" fontId="17" fillId="0" borderId="0" xfId="8" applyFont="1"/>
    <xf numFmtId="169" fontId="18" fillId="0" borderId="0" xfId="1" applyNumberFormat="1" applyFont="1" applyFill="1" applyAlignment="1">
      <alignment horizontal="right" indent="1"/>
    </xf>
    <xf numFmtId="169" fontId="18" fillId="0" borderId="0" xfId="1" applyNumberFormat="1" applyFont="1" applyFill="1" applyBorder="1" applyAlignment="1">
      <alignment horizontal="center"/>
    </xf>
    <xf numFmtId="169" fontId="18" fillId="0" borderId="0" xfId="1" applyNumberFormat="1" applyFont="1" applyFill="1" applyBorder="1" applyAlignment="1">
      <alignment horizontal="right" indent="1"/>
    </xf>
    <xf numFmtId="0" fontId="24" fillId="0" borderId="0" xfId="7" applyFont="1" applyAlignment="1">
      <alignment horizontal="left"/>
    </xf>
    <xf numFmtId="0" fontId="26" fillId="0" borderId="0" xfId="5" applyFont="1" applyAlignment="1" applyProtection="1"/>
    <xf numFmtId="14" fontId="24" fillId="0" borderId="0" xfId="7" applyNumberFormat="1" applyFont="1" applyAlignment="1">
      <alignment horizontal="left"/>
    </xf>
    <xf numFmtId="0" fontId="26" fillId="0" borderId="0" xfId="4" applyFont="1" applyAlignment="1" applyProtection="1"/>
    <xf numFmtId="0" fontId="18" fillId="0" borderId="0" xfId="7" quotePrefix="1" applyFont="1" applyAlignment="1">
      <alignment horizontal="left"/>
    </xf>
    <xf numFmtId="0" fontId="18" fillId="0" borderId="0" xfId="8" applyFont="1" applyBorder="1" applyAlignment="1">
      <alignment wrapText="1"/>
    </xf>
    <xf numFmtId="169" fontId="18" fillId="0" borderId="0" xfId="1" applyNumberFormat="1" applyFont="1" applyFill="1" applyBorder="1" applyAlignment="1">
      <alignment horizontal="right"/>
    </xf>
    <xf numFmtId="169" fontId="18" fillId="0" borderId="0" xfId="0" applyNumberFormat="1" applyFont="1" applyFill="1"/>
    <xf numFmtId="2" fontId="18" fillId="0" borderId="1" xfId="0" applyNumberFormat="1" applyFont="1" applyFill="1" applyBorder="1" applyAlignment="1">
      <alignment horizontal="right" indent="2"/>
    </xf>
    <xf numFmtId="0" fontId="18" fillId="0" borderId="1" xfId="0" applyFont="1" applyFill="1" applyBorder="1"/>
    <xf numFmtId="0" fontId="0" fillId="0" borderId="0" xfId="0" applyFill="1"/>
    <xf numFmtId="0" fontId="18" fillId="0" borderId="0" xfId="0" applyFont="1" applyFill="1"/>
    <xf numFmtId="0" fontId="18" fillId="0" borderId="2" xfId="0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0" fillId="0" borderId="2" xfId="0" applyFill="1" applyBorder="1"/>
    <xf numFmtId="0" fontId="18" fillId="0" borderId="0" xfId="0" applyFont="1" applyFill="1" applyBorder="1"/>
    <xf numFmtId="0" fontId="18" fillId="0" borderId="2" xfId="0" applyFont="1" applyFill="1" applyBorder="1" applyAlignment="1">
      <alignment horizontal="left"/>
    </xf>
    <xf numFmtId="0" fontId="18" fillId="0" borderId="0" xfId="0" applyFont="1" applyFill="1" applyAlignment="1">
      <alignment horizontal="right"/>
    </xf>
    <xf numFmtId="16" fontId="18" fillId="0" borderId="1" xfId="0" quotePrefix="1" applyNumberFormat="1" applyFont="1" applyFill="1" applyBorder="1"/>
    <xf numFmtId="16" fontId="18" fillId="0" borderId="1" xfId="0" applyNumberFormat="1" applyFont="1" applyFill="1" applyBorder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right" indent="1"/>
    </xf>
    <xf numFmtId="0" fontId="0" fillId="0" borderId="0" xfId="0" applyFill="1" applyAlignment="1">
      <alignment horizontal="left" indent="1"/>
    </xf>
    <xf numFmtId="0" fontId="19" fillId="0" borderId="3" xfId="0" quotePrefix="1" applyFont="1" applyFill="1" applyBorder="1" applyAlignment="1">
      <alignment horizontal="center"/>
    </xf>
    <xf numFmtId="0" fontId="19" fillId="0" borderId="0" xfId="0" quotePrefix="1" applyFont="1" applyFill="1" applyAlignment="1">
      <alignment horizontal="right"/>
    </xf>
    <xf numFmtId="167" fontId="18" fillId="0" borderId="0" xfId="0" applyNumberFormat="1" applyFont="1" applyFill="1" applyAlignment="1">
      <alignment horizontal="center"/>
    </xf>
    <xf numFmtId="165" fontId="18" fillId="0" borderId="0" xfId="1" applyNumberFormat="1" applyFont="1" applyFill="1" applyAlignment="1">
      <alignment horizontal="left"/>
    </xf>
    <xf numFmtId="165" fontId="18" fillId="0" borderId="0" xfId="1" applyNumberFormat="1" applyFont="1" applyFill="1" applyAlignment="1">
      <alignment horizontal="center"/>
    </xf>
    <xf numFmtId="3" fontId="18" fillId="0" borderId="0" xfId="1" applyNumberFormat="1" applyFont="1" applyFill="1" applyBorder="1" applyAlignment="1">
      <alignment horizontal="right" indent="1"/>
    </xf>
    <xf numFmtId="164" fontId="18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24" fillId="0" borderId="0" xfId="0" applyFont="1" applyFill="1"/>
    <xf numFmtId="169" fontId="18" fillId="0" borderId="0" xfId="1" quotePrefix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center"/>
    </xf>
    <xf numFmtId="164" fontId="18" fillId="0" borderId="0" xfId="1" quotePrefix="1" applyNumberFormat="1" applyFont="1" applyFill="1" applyBorder="1" applyAlignment="1">
      <alignment horizontal="center"/>
    </xf>
    <xf numFmtId="169" fontId="18" fillId="0" borderId="0" xfId="1" quotePrefix="1" applyNumberFormat="1" applyFont="1" applyFill="1" applyAlignment="1">
      <alignment horizontal="right"/>
    </xf>
    <xf numFmtId="169" fontId="0" fillId="0" borderId="0" xfId="0" applyNumberFormat="1" applyFill="1"/>
    <xf numFmtId="3" fontId="18" fillId="0" borderId="0" xfId="0" applyNumberFormat="1" applyFont="1" applyFill="1"/>
    <xf numFmtId="169" fontId="18" fillId="0" borderId="1" xfId="1" applyNumberFormat="1" applyFont="1" applyFill="1" applyBorder="1" applyAlignment="1">
      <alignment horizontal="right" indent="1"/>
    </xf>
    <xf numFmtId="164" fontId="18" fillId="0" borderId="0" xfId="1" applyNumberFormat="1" applyFont="1" applyFill="1"/>
    <xf numFmtId="14" fontId="18" fillId="0" borderId="0" xfId="0" applyNumberFormat="1" applyFont="1" applyFill="1" applyAlignment="1">
      <alignment horizontal="left"/>
    </xf>
    <xf numFmtId="0" fontId="0" fillId="0" borderId="0" xfId="0" applyFill="1" applyProtection="1"/>
    <xf numFmtId="3" fontId="18" fillId="0" borderId="0" xfId="1" applyNumberFormat="1" applyFont="1" applyFill="1" applyAlignment="1">
      <alignment horizontal="right" indent="2"/>
    </xf>
    <xf numFmtId="3" fontId="18" fillId="0" borderId="0" xfId="1" applyNumberFormat="1" applyFont="1" applyFill="1" applyAlignment="1">
      <alignment horizontal="right" indent="1"/>
    </xf>
    <xf numFmtId="3" fontId="18" fillId="0" borderId="0" xfId="1" applyNumberFormat="1" applyFont="1" applyFill="1" applyAlignment="1">
      <alignment horizontal="center"/>
    </xf>
    <xf numFmtId="0" fontId="24" fillId="0" borderId="0" xfId="0" applyFont="1" applyFill="1" applyBorder="1"/>
    <xf numFmtId="169" fontId="18" fillId="0" borderId="0" xfId="1" applyNumberFormat="1" applyFont="1" applyFill="1" applyBorder="1" applyAlignment="1">
      <alignment horizontal="right" indent="2"/>
    </xf>
    <xf numFmtId="169" fontId="18" fillId="0" borderId="1" xfId="1" applyNumberFormat="1" applyFont="1" applyFill="1" applyBorder="1" applyAlignment="1">
      <alignment horizontal="right" indent="2"/>
    </xf>
    <xf numFmtId="0" fontId="20" fillId="0" borderId="0" xfId="0" applyFont="1" applyFill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quotePrefix="1" applyNumberFormat="1" applyFont="1" applyFill="1" applyBorder="1" applyAlignment="1">
      <alignment horizontal="center"/>
    </xf>
    <xf numFmtId="164" fontId="0" fillId="0" borderId="0" xfId="1" quotePrefix="1" applyNumberFormat="1" applyFont="1" applyFill="1" applyBorder="1"/>
    <xf numFmtId="169" fontId="18" fillId="0" borderId="0" xfId="0" applyNumberFormat="1" applyFont="1" applyFill="1" applyBorder="1"/>
    <xf numFmtId="169" fontId="18" fillId="0" borderId="1" xfId="1" applyNumberFormat="1" applyFont="1" applyFill="1" applyBorder="1" applyAlignment="1">
      <alignment horizontal="center"/>
    </xf>
    <xf numFmtId="165" fontId="18" fillId="0" borderId="1" xfId="1" applyNumberFormat="1" applyFont="1" applyFill="1" applyBorder="1" applyAlignment="1">
      <alignment horizontal="right"/>
    </xf>
    <xf numFmtId="16" fontId="18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right" indent="2"/>
    </xf>
    <xf numFmtId="170" fontId="18" fillId="0" borderId="0" xfId="0" applyNumberFormat="1" applyFont="1" applyFill="1" applyBorder="1"/>
    <xf numFmtId="43" fontId="18" fillId="0" borderId="0" xfId="1" quotePrefix="1" applyNumberFormat="1" applyFont="1" applyFill="1" applyBorder="1" applyAlignment="1">
      <alignment horizontal="center"/>
    </xf>
    <xf numFmtId="166" fontId="18" fillId="0" borderId="0" xfId="1" quotePrefix="1" applyNumberFormat="1" applyFont="1" applyFill="1" applyBorder="1" applyAlignment="1">
      <alignment horizontal="center"/>
    </xf>
    <xf numFmtId="43" fontId="18" fillId="0" borderId="0" xfId="1" quotePrefix="1" applyFont="1" applyFill="1" applyBorder="1" applyAlignment="1">
      <alignment horizontal="center"/>
    </xf>
    <xf numFmtId="43" fontId="18" fillId="0" borderId="0" xfId="1" applyNumberFormat="1" applyFont="1" applyFill="1" applyBorder="1" applyAlignment="1">
      <alignment horizontal="center"/>
    </xf>
    <xf numFmtId="0" fontId="24" fillId="0" borderId="0" xfId="0" quotePrefix="1" applyFont="1" applyFill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indent="1"/>
    </xf>
    <xf numFmtId="0" fontId="18" fillId="0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9" fillId="0" borderId="3" xfId="0" quotePrefix="1" applyFont="1" applyFill="1" applyBorder="1" applyAlignment="1"/>
    <xf numFmtId="0" fontId="19" fillId="0" borderId="3" xfId="0" applyFont="1" applyFill="1" applyBorder="1" applyAlignment="1"/>
    <xf numFmtId="43" fontId="18" fillId="0" borderId="0" xfId="1" applyNumberFormat="1" applyFont="1" applyFill="1" applyBorder="1"/>
    <xf numFmtId="2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/>
    <xf numFmtId="0" fontId="13" fillId="0" borderId="0" xfId="0" applyFont="1" applyFill="1"/>
    <xf numFmtId="2" fontId="0" fillId="0" borderId="0" xfId="0" applyNumberFormat="1" applyFill="1"/>
    <xf numFmtId="165" fontId="18" fillId="0" borderId="0" xfId="1" applyNumberFormat="1" applyFont="1" applyFill="1" applyBorder="1" applyAlignment="1">
      <alignment horizontal="center"/>
    </xf>
    <xf numFmtId="47" fontId="0" fillId="0" borderId="0" xfId="0" applyNumberFormat="1" applyFill="1"/>
    <xf numFmtId="43" fontId="18" fillId="0" borderId="0" xfId="1" applyFont="1" applyFill="1" applyBorder="1" applyAlignment="1">
      <alignment horizontal="center"/>
    </xf>
    <xf numFmtId="43" fontId="0" fillId="0" borderId="0" xfId="1" applyFont="1" applyFill="1"/>
    <xf numFmtId="43" fontId="9" fillId="0" borderId="0" xfId="1" applyFont="1" applyFill="1"/>
    <xf numFmtId="0" fontId="22" fillId="0" borderId="0" xfId="0" applyFont="1" applyFill="1" applyAlignment="1">
      <alignment vertical="center"/>
    </xf>
    <xf numFmtId="168" fontId="0" fillId="0" borderId="0" xfId="0" applyNumberFormat="1" applyFill="1"/>
    <xf numFmtId="0" fontId="25" fillId="0" borderId="0" xfId="0" applyFont="1" applyFill="1"/>
    <xf numFmtId="168" fontId="18" fillId="0" borderId="0" xfId="0" applyNumberFormat="1" applyFont="1" applyFill="1"/>
    <xf numFmtId="2" fontId="18" fillId="0" borderId="0" xfId="0" applyNumberFormat="1" applyFont="1" applyFill="1"/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0" applyNumberFormat="1" applyFill="1"/>
    <xf numFmtId="0" fontId="18" fillId="0" borderId="3" xfId="0" applyFont="1" applyFill="1" applyBorder="1"/>
    <xf numFmtId="0" fontId="18" fillId="0" borderId="0" xfId="0" applyFont="1" applyFill="1" applyBorder="1" applyAlignment="1">
      <alignment horizontal="right"/>
    </xf>
    <xf numFmtId="37" fontId="18" fillId="0" borderId="0" xfId="1" applyNumberFormat="1" applyFont="1" applyFill="1" applyAlignment="1">
      <alignment horizontal="center"/>
    </xf>
    <xf numFmtId="37" fontId="18" fillId="0" borderId="0" xfId="1" applyNumberFormat="1" applyFont="1" applyFill="1" applyAlignment="1">
      <alignment horizontal="right" indent="2"/>
    </xf>
    <xf numFmtId="165" fontId="18" fillId="0" borderId="0" xfId="1" applyNumberFormat="1" applyFont="1" applyFill="1"/>
    <xf numFmtId="37" fontId="18" fillId="0" borderId="0" xfId="1" applyNumberFormat="1" applyFont="1" applyFill="1" applyAlignment="1">
      <alignment horizontal="right" indent="1"/>
    </xf>
    <xf numFmtId="37" fontId="18" fillId="0" borderId="0" xfId="1" applyNumberFormat="1" applyFont="1" applyFill="1" applyBorder="1" applyAlignment="1">
      <alignment horizontal="center"/>
    </xf>
    <xf numFmtId="37" fontId="18" fillId="0" borderId="0" xfId="1" applyNumberFormat="1" applyFont="1" applyFill="1" applyBorder="1" applyAlignment="1">
      <alignment horizontal="right" indent="2"/>
    </xf>
    <xf numFmtId="165" fontId="18" fillId="0" borderId="0" xfId="1" applyNumberFormat="1" applyFont="1" applyFill="1" applyBorder="1"/>
    <xf numFmtId="37" fontId="18" fillId="0" borderId="0" xfId="1" applyNumberFormat="1" applyFont="1" applyFill="1" applyBorder="1" applyAlignment="1">
      <alignment horizontal="right" indent="1"/>
    </xf>
    <xf numFmtId="37" fontId="18" fillId="0" borderId="1" xfId="1" applyNumberFormat="1" applyFont="1" applyFill="1" applyBorder="1" applyAlignment="1">
      <alignment horizontal="center"/>
    </xf>
    <xf numFmtId="37" fontId="18" fillId="0" borderId="1" xfId="1" applyNumberFormat="1" applyFont="1" applyFill="1" applyBorder="1" applyAlignment="1">
      <alignment horizontal="right" indent="2"/>
    </xf>
    <xf numFmtId="165" fontId="18" fillId="0" borderId="1" xfId="1" applyNumberFormat="1" applyFont="1" applyFill="1" applyBorder="1"/>
    <xf numFmtId="37" fontId="18" fillId="0" borderId="1" xfId="1" applyNumberFormat="1" applyFont="1" applyFill="1" applyBorder="1" applyAlignment="1">
      <alignment horizontal="right" indent="1"/>
    </xf>
    <xf numFmtId="9" fontId="18" fillId="0" borderId="0" xfId="12" applyFont="1" applyFill="1"/>
    <xf numFmtId="1" fontId="18" fillId="0" borderId="0" xfId="0" applyNumberFormat="1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0" fontId="19" fillId="0" borderId="4" xfId="0" applyFont="1" applyFill="1" applyBorder="1" applyAlignment="1">
      <alignment horizontal="center"/>
    </xf>
    <xf numFmtId="14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3" fontId="0" fillId="0" borderId="0" xfId="0" applyNumberFormat="1" applyFill="1"/>
    <xf numFmtId="169" fontId="18" fillId="0" borderId="0" xfId="1" applyNumberFormat="1" applyFont="1" applyFill="1" applyAlignment="1">
      <alignment horizontal="center"/>
    </xf>
    <xf numFmtId="4" fontId="0" fillId="0" borderId="0" xfId="0" applyNumberFormat="1" applyFill="1"/>
    <xf numFmtId="2" fontId="13" fillId="0" borderId="0" xfId="0" applyNumberFormat="1" applyFont="1" applyFill="1"/>
    <xf numFmtId="0" fontId="28" fillId="0" borderId="1" xfId="29" applyFont="1" applyFill="1" applyBorder="1" applyAlignment="1">
      <alignment horizontal="center" wrapText="1"/>
    </xf>
    <xf numFmtId="0" fontId="27" fillId="0" borderId="0" xfId="29" applyFont="1" applyFill="1"/>
    <xf numFmtId="0" fontId="27" fillId="0" borderId="0" xfId="29" applyFont="1" applyFill="1" applyAlignment="1">
      <alignment horizontal="center"/>
    </xf>
    <xf numFmtId="41" fontId="27" fillId="0" borderId="0" xfId="32" applyNumberFormat="1" applyFont="1" applyFill="1" applyAlignment="1">
      <alignment horizontal="center"/>
    </xf>
    <xf numFmtId="41" fontId="27" fillId="0" borderId="0" xfId="32" applyNumberFormat="1" applyFont="1" applyFill="1"/>
    <xf numFmtId="0" fontId="20" fillId="0" borderId="3" xfId="0" applyFont="1" applyFill="1" applyBorder="1"/>
    <xf numFmtId="164" fontId="18" fillId="0" borderId="3" xfId="0" applyNumberFormat="1" applyFont="1" applyFill="1" applyBorder="1"/>
    <xf numFmtId="43" fontId="18" fillId="0" borderId="1" xfId="1" applyFont="1" applyFill="1" applyBorder="1" applyAlignment="1">
      <alignment horizontal="center"/>
    </xf>
    <xf numFmtId="171" fontId="0" fillId="0" borderId="0" xfId="1" applyNumberFormat="1" applyFont="1" applyFill="1" applyBorder="1"/>
    <xf numFmtId="17" fontId="0" fillId="0" borderId="0" xfId="0" applyNumberFormat="1" applyAlignment="1">
      <alignment horizontal="left"/>
    </xf>
    <xf numFmtId="0" fontId="9" fillId="0" borderId="0" xfId="0" applyFont="1" applyAlignment="1"/>
    <xf numFmtId="0" fontId="28" fillId="0" borderId="1" xfId="29" applyFont="1" applyBorder="1" applyAlignment="1">
      <alignment horizontal="center" wrapText="1"/>
    </xf>
    <xf numFmtId="1" fontId="9" fillId="0" borderId="0" xfId="0" applyNumberFormat="1" applyFont="1" applyAlignment="1"/>
    <xf numFmtId="1" fontId="0" fillId="0" borderId="0" xfId="0" applyNumberFormat="1"/>
    <xf numFmtId="172" fontId="27" fillId="0" borderId="0" xfId="29" applyNumberFormat="1" applyFont="1" applyFill="1"/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9" fillId="0" borderId="0" xfId="8" applyFont="1"/>
    <xf numFmtId="0" fontId="9" fillId="0" borderId="0" xfId="8" applyFont="1" applyFill="1"/>
    <xf numFmtId="0" fontId="9" fillId="0" borderId="0" xfId="0" applyFont="1" applyFill="1" applyBorder="1"/>
    <xf numFmtId="0" fontId="9" fillId="0" borderId="0" xfId="0" applyFont="1" applyFill="1"/>
    <xf numFmtId="17" fontId="9" fillId="0" borderId="0" xfId="0" applyNumberFormat="1" applyFont="1" applyAlignment="1">
      <alignment horizontal="left"/>
    </xf>
    <xf numFmtId="2" fontId="0" fillId="0" borderId="0" xfId="0" applyNumberFormat="1"/>
    <xf numFmtId="172" fontId="27" fillId="0" borderId="0" xfId="32" applyNumberFormat="1" applyFont="1" applyFill="1"/>
    <xf numFmtId="172" fontId="30" fillId="0" borderId="0" xfId="1" applyNumberFormat="1" applyFont="1" applyFill="1"/>
    <xf numFmtId="172" fontId="27" fillId="0" borderId="0" xfId="32" applyNumberFormat="1" applyFont="1" applyFill="1" applyAlignment="1">
      <alignment horizontal="center"/>
    </xf>
    <xf numFmtId="2" fontId="18" fillId="2" borderId="0" xfId="0" applyNumberFormat="1" applyFont="1" applyFill="1" applyBorder="1" applyAlignment="1">
      <alignment horizontal="right" indent="2"/>
    </xf>
    <xf numFmtId="173" fontId="27" fillId="0" borderId="0" xfId="29" applyNumberFormat="1" applyFont="1" applyFill="1"/>
    <xf numFmtId="17" fontId="0" fillId="0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0" fontId="28" fillId="0" borderId="1" xfId="29" applyFont="1" applyBorder="1" applyAlignment="1">
      <alignment horizontal="left"/>
    </xf>
    <xf numFmtId="17" fontId="9" fillId="0" borderId="0" xfId="0" applyNumberFormat="1" applyFont="1" applyFill="1" applyAlignment="1">
      <alignment horizontal="left"/>
    </xf>
    <xf numFmtId="0" fontId="16" fillId="0" borderId="1" xfId="0" applyFont="1" applyBorder="1" applyAlignment="1">
      <alignment horizontal="centerContinuous"/>
    </xf>
    <xf numFmtId="0" fontId="18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2" xfId="0" quotePrefix="1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</cellXfs>
  <cellStyles count="35">
    <cellStyle name="Comma" xfId="1" builtinId="3"/>
    <cellStyle name="Comma 2" xfId="2" xr:uid="{00000000-0005-0000-0000-000001000000}"/>
    <cellStyle name="Comma 2 2" xfId="14" xr:uid="{1C9077E0-5527-45A6-8EEF-D5F248207782}"/>
    <cellStyle name="Comma 3" xfId="3" xr:uid="{00000000-0005-0000-0000-000002000000}"/>
    <cellStyle name="Comma 3 2" xfId="19" xr:uid="{3120B3EF-49C7-4F29-8FAD-0F36D06DEE97}"/>
    <cellStyle name="Comma 4" xfId="26" xr:uid="{72CFA3EC-CECD-491F-ADC8-BC4C3EA901CF}"/>
    <cellStyle name="Comma 5" xfId="28" xr:uid="{70FA35DD-5A4C-4F46-9C0F-4EF98207937B}"/>
    <cellStyle name="Comma 5 2" xfId="31" xr:uid="{1A54A7D5-5C84-48D6-943B-F788A3F8D756}"/>
    <cellStyle name="Currency" xfId="32" builtinId="4"/>
    <cellStyle name="Currency 2" xfId="34" xr:uid="{8219487F-D241-4C0D-8320-8F18D40FD705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10" xfId="27" xr:uid="{89A3A5E2-F786-4249-BED3-9C369DE53169}"/>
    <cellStyle name="Normal 11" xfId="29" xr:uid="{4B9E3B86-F018-48E8-A1B7-B09DE503DA20}"/>
    <cellStyle name="Normal 11 2" xfId="30" xr:uid="{75FDC25E-C28E-497B-82EF-A28CA2584098}"/>
    <cellStyle name="Normal 11 3" xfId="33" xr:uid="{5440E113-77DF-4DAD-9026-4858CCB03DB9}"/>
    <cellStyle name="Normal 2" xfId="7" xr:uid="{00000000-0005-0000-0000-000007000000}"/>
    <cellStyle name="Normal 2 2" xfId="8" xr:uid="{00000000-0005-0000-0000-000008000000}"/>
    <cellStyle name="Normal 2 2 2" xfId="20" xr:uid="{4218E9B5-D982-4A69-9450-7E22F3E734BF}"/>
    <cellStyle name="Normal 3" xfId="9" xr:uid="{00000000-0005-0000-0000-000009000000}"/>
    <cellStyle name="Normal 3 2" xfId="21" xr:uid="{70607CDE-CC71-4B27-B690-3D2401DD0B38}"/>
    <cellStyle name="Normal 4" xfId="10" xr:uid="{00000000-0005-0000-0000-00000A000000}"/>
    <cellStyle name="Normal 4 2" xfId="15" xr:uid="{4805FFD6-0377-46EF-881C-FDB9DF487011}"/>
    <cellStyle name="Normal 5" xfId="11" xr:uid="{00000000-0005-0000-0000-00000B000000}"/>
    <cellStyle name="Normal 5 2" xfId="22" xr:uid="{906AD1FA-0DAF-4AED-832F-0612469F913A}"/>
    <cellStyle name="Normal 6" xfId="13" xr:uid="{EBE75F6A-C88B-45B8-A8CA-B04BAAF6B28C}"/>
    <cellStyle name="Normal 7" xfId="16" xr:uid="{3D34A042-2E55-4E8C-B59D-A542FFF81875}"/>
    <cellStyle name="Normal 8" xfId="17" xr:uid="{143C9F5F-F88C-47AA-BCFD-A8A982B2D432}"/>
    <cellStyle name="Normal 8 2" xfId="18" xr:uid="{7A34C163-7F3A-42B6-97BB-A06A0BE76841}"/>
    <cellStyle name="Normal 8 2 2" xfId="24" xr:uid="{A6D8C73B-EA27-43A5-9A18-2BFF8F10C0A2}"/>
    <cellStyle name="Normal 8 3" xfId="23" xr:uid="{A94EEB1A-B27E-4B51-9834-B757898F882E}"/>
    <cellStyle name="Normal 9" xfId="25" xr:uid="{AF562AB2-2E7D-4C04-814F-6AC30A92CE3A}"/>
    <cellStyle name="Percent" xfId="12" builtinId="5"/>
  </cellStyles>
  <dxfs count="0"/>
  <tableStyles count="0" defaultTableStyle="TableStyleMedium9" defaultPivotStyle="PivotStyleLight16"/>
  <colors>
    <mruColors>
      <color rgb="FF0066FF"/>
      <color rgb="FF0000FF"/>
      <color rgb="FFB7DEE8"/>
      <color rgb="FFD99694"/>
      <color rgb="FFC3D69B"/>
      <color rgb="FFFFFF00"/>
      <color rgb="FFFFC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baseline="0">
                <a:effectLst/>
              </a:rPr>
              <a:t>Figure 1</a:t>
            </a:r>
          </a:p>
          <a:p>
            <a:pPr algn="l">
              <a:defRPr sz="1050" b="1"/>
            </a:pPr>
            <a:endParaRPr lang="en-US" sz="100" b="0" i="0" baseline="0">
              <a:effectLst/>
            </a:endParaRPr>
          </a:p>
          <a:p>
            <a:pPr algn="l">
              <a:defRPr sz="1050" b="1"/>
            </a:pPr>
            <a:r>
              <a:rPr lang="en-US" sz="1050" b="1" i="0" baseline="0">
                <a:effectLst/>
              </a:rPr>
              <a:t>Global soybean stocks</a:t>
            </a:r>
            <a:endParaRPr lang="en-US" sz="1050">
              <a:effectLst/>
            </a:endParaRPr>
          </a:p>
        </c:rich>
      </c:tx>
      <c:layout>
        <c:manualLayout>
          <c:xMode val="edge"/>
          <c:yMode val="edge"/>
          <c:x val="3.5498793668562022E-3"/>
          <c:y val="6.28940330004614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7312022564421"/>
          <c:y val="0.16224761120546205"/>
          <c:w val="0.87435715618094023"/>
          <c:h val="0.5893532665923778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'Figure 1'!$B$1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rgbClr val="C3D69B"/>
            </a:solidFill>
            <a:ln>
              <a:noFill/>
            </a:ln>
            <a:effectLst/>
          </c:spPr>
          <c:invertIfNegative val="0"/>
          <c:cat>
            <c:strRef>
              <c:f>'Figure 1'!$A$2:$A$8</c:f>
              <c:strCache>
                <c:ptCount val="7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 (Dec)</c:v>
                </c:pt>
                <c:pt idx="6">
                  <c:v>2021/2022 (Jan)</c:v>
                </c:pt>
              </c:strCache>
            </c:strRef>
          </c:cat>
          <c:val>
            <c:numRef>
              <c:f>'Figure 1'!$B$2:$B$8</c:f>
              <c:numCache>
                <c:formatCode>_(* #,##0.0_);_(* \(#,##0.0\);_(* "-"_);_(@_)</c:formatCode>
                <c:ptCount val="7"/>
                <c:pt idx="0">
                  <c:v>26.995999999999999</c:v>
                </c:pt>
                <c:pt idx="1">
                  <c:v>23.734000000000002</c:v>
                </c:pt>
                <c:pt idx="2">
                  <c:v>28.89</c:v>
                </c:pt>
                <c:pt idx="3">
                  <c:v>26.65</c:v>
                </c:pt>
                <c:pt idx="4">
                  <c:v>25.06</c:v>
                </c:pt>
                <c:pt idx="5">
                  <c:v>24.61</c:v>
                </c:pt>
                <c:pt idx="6">
                  <c:v>22.61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5B-4933-B3CA-2C08627B6251}"/>
            </c:ext>
          </c:extLst>
        </c:ser>
        <c:ser>
          <c:idx val="1"/>
          <c:order val="1"/>
          <c:tx>
            <c:strRef>
              <c:f>'Figure 1'!$C$1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rgbClr val="D99694"/>
            </a:solidFill>
            <a:ln>
              <a:noFill/>
            </a:ln>
            <a:effectLst/>
          </c:spPr>
          <c:invertIfNegative val="0"/>
          <c:cat>
            <c:strRef>
              <c:f>'Figure 1'!$A$2:$A$8</c:f>
              <c:strCache>
                <c:ptCount val="7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 (Dec)</c:v>
                </c:pt>
                <c:pt idx="6">
                  <c:v>2021/2022 (Jan)</c:v>
                </c:pt>
              </c:strCache>
            </c:strRef>
          </c:cat>
          <c:val>
            <c:numRef>
              <c:f>'Figure 1'!$C$2:$C$8</c:f>
              <c:numCache>
                <c:formatCode>_(* #,##0.0_);_(* \(#,##0.0\);_(* "-"_);_(@_)</c:formatCode>
                <c:ptCount val="7"/>
                <c:pt idx="0">
                  <c:v>32.112000000000002</c:v>
                </c:pt>
                <c:pt idx="1">
                  <c:v>32.695999999999998</c:v>
                </c:pt>
                <c:pt idx="2">
                  <c:v>32.472000000000001</c:v>
                </c:pt>
                <c:pt idx="3">
                  <c:v>20</c:v>
                </c:pt>
                <c:pt idx="4">
                  <c:v>27.954000000000001</c:v>
                </c:pt>
                <c:pt idx="5">
                  <c:v>28.25</c:v>
                </c:pt>
                <c:pt idx="6">
                  <c:v>23.553999999999998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5B-4933-B3CA-2C08627B6251}"/>
            </c:ext>
          </c:extLst>
        </c:ser>
        <c:ser>
          <c:idx val="0"/>
          <c:order val="2"/>
          <c:tx>
            <c:strRef>
              <c:f>'Figure 1'!$D$1</c:f>
              <c:strCache>
                <c:ptCount val="1"/>
                <c:pt idx="0">
                  <c:v>United States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1'!$A$2:$A$8</c:f>
              <c:strCache>
                <c:ptCount val="7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 (Dec)</c:v>
                </c:pt>
                <c:pt idx="6">
                  <c:v>2021/2022 (Jan)</c:v>
                </c:pt>
              </c:strCache>
            </c:strRef>
          </c:cat>
          <c:val>
            <c:numRef>
              <c:f>'Figure 1'!$D$2:$D$8</c:f>
              <c:numCache>
                <c:formatCode>_(* #,##0.0_);_(* \(#,##0.0\);_(* "-"_);_(@_)</c:formatCode>
                <c:ptCount val="7"/>
                <c:pt idx="0">
                  <c:v>8.2080000000000002</c:v>
                </c:pt>
                <c:pt idx="1">
                  <c:v>11.923</c:v>
                </c:pt>
                <c:pt idx="2">
                  <c:v>24.74</c:v>
                </c:pt>
                <c:pt idx="3">
                  <c:v>14.276</c:v>
                </c:pt>
                <c:pt idx="4">
                  <c:v>6.9939999999999998</c:v>
                </c:pt>
                <c:pt idx="5">
                  <c:v>9.2509999999999994</c:v>
                </c:pt>
                <c:pt idx="6">
                  <c:v>9.5239999999999991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5B-4933-B3CA-2C08627B6251}"/>
            </c:ext>
          </c:extLst>
        </c:ser>
        <c:ser>
          <c:idx val="4"/>
          <c:order val="3"/>
          <c:tx>
            <c:strRef>
              <c:f>'Figure 1'!$E$1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1'!$A$2:$A$8</c:f>
              <c:strCache>
                <c:ptCount val="7"/>
                <c:pt idx="0">
                  <c:v>2016/2017</c:v>
                </c:pt>
                <c:pt idx="1">
                  <c:v>2017/2018</c:v>
                </c:pt>
                <c:pt idx="2">
                  <c:v>2018/2019</c:v>
                </c:pt>
                <c:pt idx="3">
                  <c:v>2019/2020</c:v>
                </c:pt>
                <c:pt idx="4">
                  <c:v>2020/2021</c:v>
                </c:pt>
                <c:pt idx="5">
                  <c:v>2021/2022 (Dec)</c:v>
                </c:pt>
                <c:pt idx="6">
                  <c:v>2021/2022 (Jan)</c:v>
                </c:pt>
              </c:strCache>
            </c:strRef>
          </c:cat>
          <c:val>
            <c:numRef>
              <c:f>'Figure 1'!$E$2:$E$8</c:f>
              <c:numCache>
                <c:formatCode>_(* #,##0.0_);_(* \(#,##0.0\);_(* "-"_);_(@_)</c:formatCode>
                <c:ptCount val="7"/>
                <c:pt idx="0">
                  <c:v>27.554999999999993</c:v>
                </c:pt>
                <c:pt idx="1">
                  <c:v>31.722999999999999</c:v>
                </c:pt>
                <c:pt idx="2">
                  <c:v>27.984999999999999</c:v>
                </c:pt>
                <c:pt idx="3">
                  <c:v>34.668999999999997</c:v>
                </c:pt>
                <c:pt idx="4">
                  <c:v>39.872</c:v>
                </c:pt>
                <c:pt idx="5">
                  <c:v>39.889999999999993</c:v>
                </c:pt>
                <c:pt idx="6">
                  <c:v>39.515999999999991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5-46B2-BFA3-3308EB223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946232671633997"/>
              <c:y val="0.825716223717229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0"/>
      </c:catAx>
      <c:valAx>
        <c:axId val="667170632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tons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1.2515656867608835E-2"/>
              <c:y val="9.9068652652183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923486090060338"/>
          <c:y val="0.12636223785452472"/>
          <c:w val="0.78045272509950336"/>
          <c:h val="6.7774181308875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2</a:t>
            </a:r>
          </a:p>
          <a:p>
            <a:pPr algn="l">
              <a:defRPr sz="1050" b="1"/>
            </a:pPr>
            <a:endParaRPr lang="en-US" sz="100" b="0" i="0" u="none" strike="noStrike" baseline="0">
              <a:effectLst/>
            </a:endParaRPr>
          </a:p>
          <a:p>
            <a:pPr algn="l">
              <a:defRPr sz="1050" b="1"/>
            </a:pPr>
            <a:r>
              <a:rPr lang="en-US" sz="1050" b="1" i="0" u="none" strike="noStrike" baseline="0">
                <a:effectLst/>
              </a:rPr>
              <a:t>Historical soybean crop and usage</a:t>
            </a:r>
            <a:endParaRPr lang="en-US" sz="1050" b="1"/>
          </a:p>
        </c:rich>
      </c:tx>
      <c:layout>
        <c:manualLayout>
          <c:xMode val="edge"/>
          <c:yMode val="edge"/>
          <c:x val="1.4458792104600688E-3"/>
          <c:y val="6.28925230500033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760110426110306E-2"/>
          <c:y val="0.17323615317316104"/>
          <c:w val="0.87385084027579496"/>
          <c:h val="0.5697863920856046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2'!$B$1</c:f>
              <c:strCache>
                <c:ptCount val="1"/>
                <c:pt idx="0">
                  <c:v>Domestic use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'Figure 2'!$A$2:$A$11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'Figure 2'!$B$2:$B$11</c:f>
              <c:numCache>
                <c:formatCode>_(* #,##0_);_(* \(#,##0\);_(* "-"_);_(@_)</c:formatCode>
                <c:ptCount val="10"/>
                <c:pt idx="0">
                  <c:v>1783.847</c:v>
                </c:pt>
                <c:pt idx="1">
                  <c:v>1838.788</c:v>
                </c:pt>
                <c:pt idx="2">
                  <c:v>2020.5</c:v>
                </c:pt>
                <c:pt idx="3">
                  <c:v>2001.5940000000001</c:v>
                </c:pt>
                <c:pt idx="4">
                  <c:v>2047.36</c:v>
                </c:pt>
                <c:pt idx="5">
                  <c:v>2163.203</c:v>
                </c:pt>
                <c:pt idx="6">
                  <c:v>2217.83</c:v>
                </c:pt>
                <c:pt idx="7">
                  <c:v>2272.5619999999999</c:v>
                </c:pt>
                <c:pt idx="8">
                  <c:v>2238.2710000000002</c:v>
                </c:pt>
                <c:pt idx="9">
                  <c:v>2307.268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77-4E46-896D-7A0D8B096427}"/>
            </c:ext>
          </c:extLst>
        </c:ser>
        <c:ser>
          <c:idx val="0"/>
          <c:order val="1"/>
          <c:tx>
            <c:strRef>
              <c:f>'Figure 2'!$C$1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'Figure 2'!$A$2:$A$11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'Figure 2'!$C$2:$C$11</c:f>
              <c:numCache>
                <c:formatCode>_(* #,##0_);_(* \(#,##0\);_(* "-"_);_(@_)</c:formatCode>
                <c:ptCount val="10"/>
                <c:pt idx="0">
                  <c:v>1327.5260000000001</c:v>
                </c:pt>
                <c:pt idx="1">
                  <c:v>1638.56</c:v>
                </c:pt>
                <c:pt idx="2">
                  <c:v>1842.175</c:v>
                </c:pt>
                <c:pt idx="3">
                  <c:v>1942.606</c:v>
                </c:pt>
                <c:pt idx="4">
                  <c:v>2166.5509999999999</c:v>
                </c:pt>
                <c:pt idx="5">
                  <c:v>2133.7310000000002</c:v>
                </c:pt>
                <c:pt idx="6">
                  <c:v>1753.43</c:v>
                </c:pt>
                <c:pt idx="7">
                  <c:v>1679.2370000000001</c:v>
                </c:pt>
                <c:pt idx="8">
                  <c:v>2265.431</c:v>
                </c:pt>
                <c:pt idx="9">
                  <c:v>2050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F3-4B10-B84D-A678C004E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2"/>
          <c:order val="2"/>
          <c:tx>
            <c:strRef>
              <c:f>'Figure 2'!$D$1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2'!$A$2:$A$11</c:f>
              <c:strCache>
                <c:ptCount val="10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</c:strCache>
            </c:strRef>
          </c:cat>
          <c:val>
            <c:numRef>
              <c:f>'Figure 2'!$D$2:$D$11</c:f>
              <c:numCache>
                <c:formatCode>_(* #,##0_);_(* \(#,##0\);_(* "-"_);_(@_)</c:formatCode>
                <c:ptCount val="10"/>
                <c:pt idx="0">
                  <c:v>3042.0439999999999</c:v>
                </c:pt>
                <c:pt idx="1">
                  <c:v>3357.0039999999999</c:v>
                </c:pt>
                <c:pt idx="2">
                  <c:v>3928.07</c:v>
                </c:pt>
                <c:pt idx="3">
                  <c:v>3926.779</c:v>
                </c:pt>
                <c:pt idx="4">
                  <c:v>4296.4960000000001</c:v>
                </c:pt>
                <c:pt idx="5">
                  <c:v>4411.6329999999998</c:v>
                </c:pt>
                <c:pt idx="6">
                  <c:v>4428.1499999999996</c:v>
                </c:pt>
                <c:pt idx="7">
                  <c:v>3551.9079999999999</c:v>
                </c:pt>
                <c:pt idx="8">
                  <c:v>4216.3019999999997</c:v>
                </c:pt>
                <c:pt idx="9">
                  <c:v>4435.232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F3-4B10-B84D-A678C004E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940503657635404"/>
              <c:y val="0.874159039746809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Million bushels</a:t>
                </a:r>
              </a:p>
            </c:rich>
          </c:tx>
          <c:layout>
            <c:manualLayout>
              <c:xMode val="edge"/>
              <c:yMode val="edge"/>
              <c:x val="6.07867353507161E-3"/>
              <c:y val="9.3024833434282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547927060648196"/>
          <c:y val="0.11425641025641026"/>
          <c:w val="0.51143381148465672"/>
          <c:h val="5.5460547138959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>
                <a:latin typeface="Arial" panose="020B0604020202020204" pitchFamily="34" charset="0"/>
                <a:cs typeface="Arial" panose="020B0604020202020204" pitchFamily="34" charset="0"/>
              </a:rPr>
              <a:t>Figure 3</a:t>
            </a:r>
          </a:p>
          <a:p>
            <a:pPr algn="l">
              <a:defRPr/>
            </a:pPr>
            <a:endParaRPr lang="en-US" sz="1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/>
            </a:pPr>
            <a:r>
              <a:rPr lang="en-US" sz="1050" b="1" baseline="0">
                <a:latin typeface="Arial" panose="020B0604020202020204" pitchFamily="34" charset="0"/>
                <a:cs typeface="Arial" panose="020B0604020202020204" pitchFamily="34" charset="0"/>
              </a:rPr>
              <a:t>Prices received by farmers</a:t>
            </a:r>
            <a:endParaRPr lang="en-US" sz="105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8.8180385173571366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45533711561788E-2"/>
          <c:y val="0.20372381811957299"/>
          <c:w val="0.87385084027579496"/>
          <c:h val="0.55014457034334119"/>
        </c:manualLayout>
      </c:layout>
      <c:lineChart>
        <c:grouping val="standard"/>
        <c:varyColors val="0"/>
        <c:ser>
          <c:idx val="0"/>
          <c:order val="1"/>
          <c:tx>
            <c:strRef>
              <c:f>'Figure 3'!$D$2</c:f>
              <c:strCache>
                <c:ptCount val="1"/>
                <c:pt idx="0">
                  <c:v>Sunflowerseed 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'Figure 3'!$A$3:$A$9</c:f>
              <c:strCache>
                <c:ptCount val="7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2021/22p</c:v>
                </c:pt>
              </c:strCache>
            </c:strRef>
          </c:cat>
          <c:val>
            <c:numRef>
              <c:f>'Figure 3'!$D$3:$D$9</c:f>
              <c:numCache>
                <c:formatCode>0.00</c:formatCode>
                <c:ptCount val="7"/>
                <c:pt idx="0">
                  <c:v>19.600000000000001</c:v>
                </c:pt>
                <c:pt idx="1">
                  <c:v>17.399999999999999</c:v>
                </c:pt>
                <c:pt idx="2">
                  <c:v>17.2</c:v>
                </c:pt>
                <c:pt idx="3">
                  <c:v>17.399999999999999</c:v>
                </c:pt>
                <c:pt idx="4">
                  <c:v>19.5</c:v>
                </c:pt>
                <c:pt idx="5">
                  <c:v>21.3</c:v>
                </c:pt>
                <c:pt idx="6">
                  <c:v>31.55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E-41AB-9101-510547F2C1F6}"/>
            </c:ext>
          </c:extLst>
        </c:ser>
        <c:ser>
          <c:idx val="2"/>
          <c:order val="2"/>
          <c:tx>
            <c:strRef>
              <c:f>'Figure 3'!$E$2</c:f>
              <c:strCache>
                <c:ptCount val="1"/>
                <c:pt idx="0">
                  <c:v>Canola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'Figure 3'!$E$3:$E$9</c:f>
              <c:numCache>
                <c:formatCode>0.00</c:formatCode>
                <c:ptCount val="7"/>
                <c:pt idx="0">
                  <c:v>15.6</c:v>
                </c:pt>
                <c:pt idx="1">
                  <c:v>16.600000000000001</c:v>
                </c:pt>
                <c:pt idx="2">
                  <c:v>17.5</c:v>
                </c:pt>
                <c:pt idx="3">
                  <c:v>15.8</c:v>
                </c:pt>
                <c:pt idx="4">
                  <c:v>14.8</c:v>
                </c:pt>
                <c:pt idx="5">
                  <c:v>18.400000000000002</c:v>
                </c:pt>
                <c:pt idx="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2-45F1-B8C2-9D14991A3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lineChart>
        <c:grouping val="standard"/>
        <c:varyColors val="0"/>
        <c:ser>
          <c:idx val="1"/>
          <c:order val="0"/>
          <c:tx>
            <c:strRef>
              <c:f>'Figure 3'!$B$2</c:f>
              <c:strCache>
                <c:ptCount val="1"/>
                <c:pt idx="0">
                  <c:v>Soybeans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'Figure 3'!$A$3:$A$9</c:f>
              <c:strCache>
                <c:ptCount val="7"/>
                <c:pt idx="0">
                  <c:v>2015/16</c:v>
                </c:pt>
                <c:pt idx="1">
                  <c:v>2016/17</c:v>
                </c:pt>
                <c:pt idx="2">
                  <c:v>2017/18</c:v>
                </c:pt>
                <c:pt idx="3">
                  <c:v>2018/19</c:v>
                </c:pt>
                <c:pt idx="4">
                  <c:v>2019/20</c:v>
                </c:pt>
                <c:pt idx="5">
                  <c:v>2020/21</c:v>
                </c:pt>
                <c:pt idx="6">
                  <c:v>2021/22p</c:v>
                </c:pt>
              </c:strCache>
            </c:strRef>
          </c:cat>
          <c:val>
            <c:numRef>
              <c:f>'Figure 3'!$B$3:$B$9</c:f>
              <c:numCache>
                <c:formatCode>0.00</c:formatCode>
                <c:ptCount val="7"/>
                <c:pt idx="0">
                  <c:v>8.9499999999999993</c:v>
                </c:pt>
                <c:pt idx="1">
                  <c:v>9.4700000000000006</c:v>
                </c:pt>
                <c:pt idx="2">
                  <c:v>9.33</c:v>
                </c:pt>
                <c:pt idx="3">
                  <c:v>8.48</c:v>
                </c:pt>
                <c:pt idx="4">
                  <c:v>8.57</c:v>
                </c:pt>
                <c:pt idx="5">
                  <c:v>10.8</c:v>
                </c:pt>
                <c:pt idx="6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AE-41AB-9101-510547F2C1F6}"/>
            </c:ext>
          </c:extLst>
        </c:ser>
        <c:ser>
          <c:idx val="3"/>
          <c:order val="3"/>
          <c:tx>
            <c:strRef>
              <c:f>'Figure 3'!$C$2</c:f>
              <c:strCache>
                <c:ptCount val="1"/>
                <c:pt idx="0">
                  <c:v>Flaxseed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'Figure 3'!$C$3:$C$9</c:f>
              <c:numCache>
                <c:formatCode>0.00</c:formatCode>
                <c:ptCount val="7"/>
                <c:pt idx="0">
                  <c:v>8.9499999999999993</c:v>
                </c:pt>
                <c:pt idx="1">
                  <c:v>8</c:v>
                </c:pt>
                <c:pt idx="2">
                  <c:v>9.5299999999999994</c:v>
                </c:pt>
                <c:pt idx="3">
                  <c:v>9.89</c:v>
                </c:pt>
                <c:pt idx="4">
                  <c:v>9.15</c:v>
                </c:pt>
                <c:pt idx="5">
                  <c:v>11.102000000000002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F2-45F1-B8C2-9D14991A3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9882864"/>
        <c:axId val="1739881616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</a:t>
                </a:r>
                <a:r>
                  <a:rPr lang="en-US" sz="900" baseline="0"/>
                  <a:t> Year</a:t>
                </a:r>
                <a:endParaRPr lang="en-US" sz="900"/>
              </a:p>
            </c:rich>
          </c:tx>
          <c:layout>
            <c:manualLayout>
              <c:xMode val="edge"/>
              <c:yMode val="edge"/>
              <c:x val="0.43157724999226693"/>
              <c:y val="0.875486290498272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Dollars per hundredweight </a:t>
                </a:r>
                <a:endParaRPr lang="en-US" sz="900" i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2243276332730486E-3"/>
              <c:y val="9.309115245056517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valAx>
        <c:axId val="173988161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39882864"/>
        <c:crosses val="max"/>
        <c:crossBetween val="between"/>
      </c:valAx>
      <c:catAx>
        <c:axId val="1739882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9881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460556075263277"/>
          <c:y val="0.17807309659415102"/>
          <c:w val="0.7091315890635832"/>
          <c:h val="9.02557758343448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05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800" b="0" i="0" u="none" strike="noStrike" baseline="0">
                <a:effectLst/>
              </a:rPr>
              <a:t>Figure 4</a:t>
            </a:r>
          </a:p>
          <a:p>
            <a:pPr algn="l">
              <a:defRPr sz="1050" b="1"/>
            </a:pPr>
            <a:endParaRPr lang="en-US" sz="100" b="0" i="0" u="none" strike="noStrike" baseline="0">
              <a:effectLst/>
            </a:endParaRPr>
          </a:p>
          <a:p>
            <a:pPr algn="l">
              <a:defRPr sz="1050" b="1"/>
            </a:pPr>
            <a:r>
              <a:rPr lang="en-US" sz="1050" b="1" i="0" u="none" strike="noStrike" baseline="0">
                <a:effectLst/>
              </a:rPr>
              <a:t>Malaysian palm oil supply and demand</a:t>
            </a:r>
            <a:endParaRPr lang="en-US" sz="1050" b="1"/>
          </a:p>
        </c:rich>
      </c:tx>
      <c:layout>
        <c:manualLayout>
          <c:xMode val="edge"/>
          <c:yMode val="edge"/>
          <c:x val="1.4458792104600688E-3"/>
          <c:y val="6.28925230500033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05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760110426110306E-2"/>
          <c:y val="0.17323615317316104"/>
          <c:w val="0.86550689749702003"/>
          <c:h val="0.540896918314783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4'!$B$1</c:f>
              <c:strCache>
                <c:ptCount val="1"/>
                <c:pt idx="0">
                  <c:v>Domestic use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'Figure 4'!$A$2:$A$8</c:f>
              <c:strCache>
                <c:ptCount val="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(Dec)</c:v>
                </c:pt>
                <c:pt idx="6">
                  <c:v>2021/22 (Jan)</c:v>
                </c:pt>
              </c:strCache>
            </c:strRef>
          </c:cat>
          <c:val>
            <c:numRef>
              <c:f>'Figure 4'!$B$2:$B$8</c:f>
              <c:numCache>
                <c:formatCode>_(* #,##0.0_);_(* \(#,##0.0\);_(* "-"_);_(@_)</c:formatCode>
                <c:ptCount val="7"/>
                <c:pt idx="0">
                  <c:v>2.6219999999999999</c:v>
                </c:pt>
                <c:pt idx="1">
                  <c:v>3.238</c:v>
                </c:pt>
                <c:pt idx="2">
                  <c:v>3.5219999999999998</c:v>
                </c:pt>
                <c:pt idx="3">
                  <c:v>3.5430000000000001</c:v>
                </c:pt>
                <c:pt idx="4">
                  <c:v>3.37</c:v>
                </c:pt>
                <c:pt idx="5">
                  <c:v>3.37</c:v>
                </c:pt>
                <c:pt idx="6">
                  <c:v>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9-4680-BCF2-A96A124E3F5D}"/>
            </c:ext>
          </c:extLst>
        </c:ser>
        <c:ser>
          <c:idx val="0"/>
          <c:order val="1"/>
          <c:tx>
            <c:strRef>
              <c:f>'Figure 4'!$C$1</c:f>
              <c:strCache>
                <c:ptCount val="1"/>
                <c:pt idx="0">
                  <c:v>Exports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'Figure 4'!$A$2:$A$8</c:f>
              <c:strCache>
                <c:ptCount val="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(Dec)</c:v>
                </c:pt>
                <c:pt idx="6">
                  <c:v>2021/22 (Jan)</c:v>
                </c:pt>
              </c:strCache>
            </c:strRef>
          </c:cat>
          <c:val>
            <c:numRef>
              <c:f>'Figure 4'!$C$2:$C$8</c:f>
              <c:numCache>
                <c:formatCode>_(* #,##0.0_);_(* \(#,##0.0\);_(* "-"_);_(@_)</c:formatCode>
                <c:ptCount val="7"/>
                <c:pt idx="0">
                  <c:v>16.312999999999999</c:v>
                </c:pt>
                <c:pt idx="1">
                  <c:v>16.472000000000001</c:v>
                </c:pt>
                <c:pt idx="2">
                  <c:v>18.361999999999998</c:v>
                </c:pt>
                <c:pt idx="3">
                  <c:v>17.212</c:v>
                </c:pt>
                <c:pt idx="4">
                  <c:v>15.866</c:v>
                </c:pt>
                <c:pt idx="5">
                  <c:v>17.22</c:v>
                </c:pt>
                <c:pt idx="6">
                  <c:v>16.22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9-4680-BCF2-A96A124E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67172272"/>
        <c:axId val="667170632"/>
      </c:barChart>
      <c:lineChart>
        <c:grouping val="standard"/>
        <c:varyColors val="0"/>
        <c:ser>
          <c:idx val="2"/>
          <c:order val="2"/>
          <c:tx>
            <c:strRef>
              <c:f>'Figure 4'!$D$1</c:f>
              <c:strCache>
                <c:ptCount val="1"/>
                <c:pt idx="0">
                  <c:v>Production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'Figure 4'!$A$2:$A$8</c:f>
              <c:strCache>
                <c:ptCount val="7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 (Dec)</c:v>
                </c:pt>
                <c:pt idx="6">
                  <c:v>2021/22 (Jan)</c:v>
                </c:pt>
              </c:strCache>
            </c:strRef>
          </c:cat>
          <c:val>
            <c:numRef>
              <c:f>'Figure 4'!$D$2:$D$8</c:f>
              <c:numCache>
                <c:formatCode>_(* #,##0.0_);_(* \(#,##0.0\);_(* "-"_);_(@_)</c:formatCode>
                <c:ptCount val="7"/>
                <c:pt idx="0">
                  <c:v>18.858000000000001</c:v>
                </c:pt>
                <c:pt idx="1">
                  <c:v>19.683</c:v>
                </c:pt>
                <c:pt idx="2">
                  <c:v>20.8</c:v>
                </c:pt>
                <c:pt idx="3">
                  <c:v>19.254999999999999</c:v>
                </c:pt>
                <c:pt idx="4">
                  <c:v>17.853999999999999</c:v>
                </c:pt>
                <c:pt idx="5">
                  <c:v>19.7</c:v>
                </c:pt>
                <c:pt idx="6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C9-4680-BCF2-A96A124E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72272"/>
        <c:axId val="667170632"/>
      </c:lineChart>
      <c:catAx>
        <c:axId val="667172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/>
                  <a:t>Marketing year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28703148898598"/>
              <c:y val="0.856103003774408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0632"/>
        <c:crosses val="autoZero"/>
        <c:auto val="1"/>
        <c:lblAlgn val="ctr"/>
        <c:lblOffset val="100"/>
        <c:noMultiLvlLbl val="1"/>
      </c:catAx>
      <c:valAx>
        <c:axId val="667170632"/>
        <c:scaling>
          <c:orientation val="minMax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aseline="0"/>
                  <a:t> Million tons</a:t>
                </a:r>
              </a:p>
            </c:rich>
          </c:tx>
          <c:layout>
            <c:manualLayout>
              <c:xMode val="edge"/>
              <c:yMode val="edge"/>
              <c:x val="6.07867353507161E-3"/>
              <c:y val="9.3024833434282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10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.0_);_(* \(#,##0.0\);_(* &quot;-&quot;_);_(@_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6717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547927060648196"/>
          <c:y val="0.11425641025641026"/>
          <c:w val="0.51143381148465672"/>
          <c:h val="5.5460547138959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102871</xdr:colOff>
      <xdr:row>0</xdr:row>
      <xdr:rowOff>64770</xdr:rowOff>
    </xdr:from>
    <xdr:to>
      <xdr:col>15</xdr:col>
      <xdr:colOff>156211</xdr:colOff>
      <xdr:row>21</xdr:row>
      <xdr:rowOff>16934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E556A1-7316-4BAB-A542-C6B4855BD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0.87107</cdr:y>
    </cdr:from>
    <cdr:to>
      <cdr:x>0.99795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03363"/>
          <a:ext cx="6136734" cy="474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 Stocks of September 1 for</a:t>
          </a:r>
          <a:r>
            <a:rPr lang="en-US" sz="9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the United States and October 1 for Brazil and Argentina.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Supply, and Distribution</a:t>
          </a: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database.</a:t>
          </a:r>
          <a:endParaRPr lang="en-US" sz="9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0</xdr:row>
      <xdr:rowOff>47625</xdr:rowOff>
    </xdr:from>
    <xdr:to>
      <xdr:col>14</xdr:col>
      <xdr:colOff>3864</xdr:colOff>
      <xdr:row>22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89D511-50B7-4E33-8BD2-C444B8C42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0.91026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381375"/>
          <a:ext cx="591889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National Agricultural Statistics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Crop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Production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World Agricultural Outlook Board, 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Agricultural Supply and Demand Estimates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196214</xdr:colOff>
      <xdr:row>1</xdr:row>
      <xdr:rowOff>93345</xdr:rowOff>
    </xdr:from>
    <xdr:to>
      <xdr:col>14</xdr:col>
      <xdr:colOff>173355</xdr:colOff>
      <xdr:row>24</xdr:row>
      <xdr:rowOff>62865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7749F9B1-83EB-4848-BC4D-5A07244B54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0.91185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488055"/>
          <a:ext cx="5600701" cy="33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Research Service and USDA, National Agricultural Statistics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Agricultural Prices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  <a:p xmlns:a="http://schemas.openxmlformats.org/drawingml/2006/main"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0.81666</cdr:x>
      <cdr:y>0.11625</cdr:y>
    </cdr:from>
    <cdr:to>
      <cdr:x>1</cdr:x>
      <cdr:y>0.16484</cdr:y>
    </cdr:to>
    <cdr:sp macro="" textlink="">
      <cdr:nvSpPr>
        <cdr:cNvPr id="5" name="Rectangle 4">
          <a:extLst xmlns:a="http://schemas.openxmlformats.org/drawingml/2006/main">
            <a:ext uri="{FF2B5EF4-FFF2-40B4-BE49-F238E27FC236}">
              <a16:creationId xmlns:a16="http://schemas.microsoft.com/office/drawing/2014/main" id="{81684139-1377-4F0C-8965-6564D799881A}"/>
            </a:ext>
          </a:extLst>
        </cdr:cNvPr>
        <cdr:cNvSpPr/>
      </cdr:nvSpPr>
      <cdr:spPr bwMode="auto">
        <a:xfrm xmlns:a="http://schemas.openxmlformats.org/drawingml/2006/main">
          <a:off x="4573888" y="444669"/>
          <a:ext cx="1026813" cy="18588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solidFill>
            <a:schemeClr val="bg1"/>
          </a:solidFill>
          <a:headEnd type="none" w="med" len="med"/>
          <a:tailEnd type="none" w="med" len="me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per bushel 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0</xdr:row>
      <xdr:rowOff>47625</xdr:rowOff>
    </xdr:from>
    <xdr:to>
      <xdr:col>14</xdr:col>
      <xdr:colOff>3864</xdr:colOff>
      <xdr:row>20</xdr:row>
      <xdr:rowOff>8467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F833149-DEE1-4512-83D6-D096F89AF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0.0025</cdr:x>
      <cdr:y>0.9434</cdr:y>
    </cdr:from>
    <cdr:to>
      <cdr:x>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57EB422-91AB-4D9B-80EF-FD0714C76DB3}"/>
            </a:ext>
          </a:extLst>
        </cdr:cNvPr>
        <cdr:cNvSpPr txBox="1"/>
      </cdr:nvSpPr>
      <cdr:spPr>
        <a:xfrm xmlns:a="http://schemas.openxmlformats.org/drawingml/2006/main">
          <a:off x="15240" y="3810000"/>
          <a:ext cx="607314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0.91092</cdr:y>
    </cdr:from>
    <cdr:to>
      <cdr:x>1</cdr:x>
      <cdr:y>1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E9C5DB4-E169-4932-885B-EC267952B801}"/>
            </a:ext>
          </a:extLst>
        </cdr:cNvPr>
        <cdr:cNvSpPr txBox="1"/>
      </cdr:nvSpPr>
      <cdr:spPr>
        <a:xfrm xmlns:a="http://schemas.openxmlformats.org/drawingml/2006/main">
          <a:off x="0" y="3203575"/>
          <a:ext cx="6088224" cy="3132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USDA, Economic </a:t>
          </a:r>
          <a:r>
            <a:rPr lang="en-US" sz="9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Research</a:t>
          </a:r>
          <a:r>
            <a:rPr lang="en-US" sz="9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Service using data from USDA, Foreign Agricultural Service, </a:t>
          </a:r>
          <a:r>
            <a:rPr lang="en-US" sz="900" i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Production,</a:t>
          </a:r>
          <a:r>
            <a:rPr lang="en-US" sz="90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Supply, and Distribution </a:t>
          </a:r>
          <a:r>
            <a:rPr lang="en-US" sz="9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database</a:t>
          </a:r>
          <a:r>
            <a:rPr lang="en-US" sz="9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900" i="1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6"/>
  <sheetViews>
    <sheetView tabSelected="1" workbookViewId="0"/>
  </sheetViews>
  <sheetFormatPr defaultColWidth="9.6640625" defaultRowHeight="13.8"/>
  <cols>
    <col min="1" max="1" width="166.88671875" style="13" bestFit="1" customWidth="1"/>
    <col min="2" max="16384" width="9.6640625" style="1"/>
  </cols>
  <sheetData>
    <row r="1" spans="1:3">
      <c r="A1" s="8" t="s">
        <v>0</v>
      </c>
      <c r="B1" s="143"/>
      <c r="C1" s="143"/>
    </row>
    <row r="2" spans="1:3" s="2" customFormat="1">
      <c r="A2" s="9"/>
    </row>
    <row r="3" spans="1:3">
      <c r="A3" s="11" t="s">
        <v>1</v>
      </c>
      <c r="B3" s="3"/>
      <c r="C3" s="2"/>
    </row>
    <row r="4" spans="1:3">
      <c r="A4" s="11" t="s">
        <v>2</v>
      </c>
      <c r="B4" s="4"/>
      <c r="C4" s="143"/>
    </row>
    <row r="5" spans="1:3">
      <c r="A5" s="11" t="s">
        <v>3</v>
      </c>
      <c r="B5" s="4"/>
      <c r="C5" s="143"/>
    </row>
    <row r="6" spans="1:3">
      <c r="A6" s="11" t="s">
        <v>4</v>
      </c>
      <c r="B6" s="4"/>
      <c r="C6" s="143"/>
    </row>
    <row r="7" spans="1:3">
      <c r="A7" s="11" t="s">
        <v>5</v>
      </c>
      <c r="B7" s="4"/>
      <c r="C7" s="143"/>
    </row>
    <row r="8" spans="1:3">
      <c r="A8" s="11" t="s">
        <v>6</v>
      </c>
      <c r="B8" s="4"/>
      <c r="C8" s="143"/>
    </row>
    <row r="9" spans="1:3">
      <c r="A9" s="11" t="s">
        <v>7</v>
      </c>
      <c r="B9" s="4"/>
      <c r="C9" s="143"/>
    </row>
    <row r="10" spans="1:3">
      <c r="A10" s="11" t="s">
        <v>8</v>
      </c>
      <c r="B10" s="4"/>
      <c r="C10" s="143"/>
    </row>
    <row r="11" spans="1:3">
      <c r="A11" s="11" t="s">
        <v>9</v>
      </c>
      <c r="B11" s="4"/>
      <c r="C11" s="143"/>
    </row>
    <row r="12" spans="1:3">
      <c r="A12" s="11" t="s">
        <v>10</v>
      </c>
      <c r="B12" s="4"/>
      <c r="C12" s="143"/>
    </row>
    <row r="13" spans="1:3">
      <c r="A13" s="12" t="s">
        <v>153</v>
      </c>
      <c r="B13" s="4"/>
      <c r="C13" s="143"/>
    </row>
    <row r="14" spans="1:3" ht="13.2">
      <c r="A14" s="143"/>
      <c r="B14" s="143"/>
      <c r="C14" s="143"/>
    </row>
    <row r="15" spans="1:3">
      <c r="A15" s="8" t="s">
        <v>11</v>
      </c>
      <c r="B15" s="144"/>
      <c r="C15" s="143"/>
    </row>
    <row r="16" spans="1:3">
      <c r="A16" s="10">
        <f ca="1">TODAY()</f>
        <v>44574</v>
      </c>
      <c r="B16" s="143"/>
      <c r="C16" s="143"/>
    </row>
  </sheetData>
  <hyperlinks>
    <hyperlink ref="A3" location="'Table 1'!A1" display="Table 1--Soybeans:  Annual U.S. supply and disappearance" xr:uid="{00000000-0004-0000-0000-000000000000}"/>
    <hyperlink ref="A4" location="'Table 2'!A1" display="Table 2--Soybean meal:  U.S. supply and disappearance" xr:uid="{00000000-0004-0000-0000-000001000000}"/>
    <hyperlink ref="A5" location="'Table 3'!A1" display="Table 3--Soybean oil:  U.S. supply and disappearance" xr:uid="{00000000-0004-0000-0000-000002000000}"/>
    <hyperlink ref="A6" location="'Tables 4-7'!A1" display="Table 4--Cottonseed:  U.S. supply and disappearance" xr:uid="{00000000-0004-0000-0000-000003000000}"/>
    <hyperlink ref="A7" location="'Tables 4-7'!A1" display="Table 5--Cottonseed meal:  U.S. supply and disappearance" xr:uid="{00000000-0004-0000-0000-000004000000}"/>
    <hyperlink ref="A8" location="'Tables 4-7'!A1" display="Table 6--Cottonseed oil:  U.S. supply and disappearance" xr:uid="{00000000-0004-0000-0000-000005000000}"/>
    <hyperlink ref="A9" location="'Tables 4-7'!A1" display="Table 7--Peanuts:  U.S. supply and disappearance" xr:uid="{00000000-0004-0000-0000-000006000000}"/>
    <hyperlink ref="A10" location="'Table 8'!A1" display="Table 8--Oilseed prices received by U.S. farmers" xr:uid="{00000000-0004-0000-0000-000007000000}"/>
    <hyperlink ref="A11" location="'Table 9'!A1" display="Table 9--U.S. vegetable oil and fats prices" xr:uid="{00000000-0004-0000-0000-000008000000}"/>
    <hyperlink ref="A12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A746D-7AA0-4336-B54C-68FB16ED45FB}">
  <dimension ref="A1:E93"/>
  <sheetViews>
    <sheetView zoomScale="90" zoomScaleNormal="90" workbookViewId="0"/>
  </sheetViews>
  <sheetFormatPr defaultColWidth="9.109375" defaultRowHeight="13.2"/>
  <cols>
    <col min="1" max="1" width="10.109375" style="136" customWidth="1"/>
    <col min="2" max="2" width="10.44140625" style="136" customWidth="1"/>
    <col min="3" max="3" width="7.6640625" style="136" bestFit="1" customWidth="1"/>
    <col min="4" max="4" width="10.5546875" style="136" customWidth="1"/>
    <col min="5" max="16384" width="9.109375" style="136"/>
  </cols>
  <sheetData>
    <row r="1" spans="1:5" ht="26.4">
      <c r="A1" s="126" t="s">
        <v>151</v>
      </c>
      <c r="B1" s="126" t="s">
        <v>154</v>
      </c>
      <c r="C1" s="126" t="s">
        <v>28</v>
      </c>
      <c r="D1" s="126" t="s">
        <v>25</v>
      </c>
    </row>
    <row r="2" spans="1:5">
      <c r="A2" s="147" t="s">
        <v>109</v>
      </c>
      <c r="B2" s="130">
        <v>1783.847</v>
      </c>
      <c r="C2" s="130">
        <v>1327.5260000000001</v>
      </c>
      <c r="D2" s="130">
        <v>3042.0439999999999</v>
      </c>
      <c r="E2" s="138"/>
    </row>
    <row r="3" spans="1:5">
      <c r="A3" s="147" t="s">
        <v>110</v>
      </c>
      <c r="B3" s="130">
        <v>1838.788</v>
      </c>
      <c r="C3" s="130">
        <v>1638.56</v>
      </c>
      <c r="D3" s="130">
        <v>3357.0039999999999</v>
      </c>
      <c r="E3" s="138"/>
    </row>
    <row r="4" spans="1:5">
      <c r="A4" s="147" t="s">
        <v>111</v>
      </c>
      <c r="B4" s="130">
        <v>2020.5</v>
      </c>
      <c r="C4" s="130">
        <v>1842.175</v>
      </c>
      <c r="D4" s="130">
        <v>3928.07</v>
      </c>
      <c r="E4" s="138"/>
    </row>
    <row r="5" spans="1:5">
      <c r="A5" s="147" t="s">
        <v>112</v>
      </c>
      <c r="B5" s="130">
        <v>2001.5940000000001</v>
      </c>
      <c r="C5" s="130">
        <v>1942.606</v>
      </c>
      <c r="D5" s="130">
        <v>3926.779</v>
      </c>
      <c r="E5" s="138"/>
    </row>
    <row r="6" spans="1:5">
      <c r="A6" s="147" t="s">
        <v>113</v>
      </c>
      <c r="B6" s="130">
        <v>2047.36</v>
      </c>
      <c r="C6" s="130">
        <v>2166.5509999999999</v>
      </c>
      <c r="D6" s="130">
        <v>4296.4960000000001</v>
      </c>
      <c r="E6" s="138"/>
    </row>
    <row r="7" spans="1:5">
      <c r="A7" s="147" t="s">
        <v>114</v>
      </c>
      <c r="B7" s="130">
        <v>2163.203</v>
      </c>
      <c r="C7" s="130">
        <v>2133.7310000000002</v>
      </c>
      <c r="D7" s="130">
        <v>4411.6329999999998</v>
      </c>
      <c r="E7" s="138"/>
    </row>
    <row r="8" spans="1:5">
      <c r="A8" s="147" t="s">
        <v>115</v>
      </c>
      <c r="B8" s="130">
        <v>2217.83</v>
      </c>
      <c r="C8" s="130">
        <v>1753.43</v>
      </c>
      <c r="D8" s="130">
        <v>4428.1499999999996</v>
      </c>
      <c r="E8" s="138"/>
    </row>
    <row r="9" spans="1:5">
      <c r="A9" s="147" t="s">
        <v>32</v>
      </c>
      <c r="B9" s="130">
        <v>2272.5619999999999</v>
      </c>
      <c r="C9" s="130">
        <v>1679.2370000000001</v>
      </c>
      <c r="D9" s="130">
        <v>3551.9079999999999</v>
      </c>
      <c r="E9" s="138"/>
    </row>
    <row r="10" spans="1:5">
      <c r="A10" s="147" t="s">
        <v>36</v>
      </c>
      <c r="B10" s="130">
        <v>2238.2710000000002</v>
      </c>
      <c r="C10" s="130">
        <v>2265.431</v>
      </c>
      <c r="D10" s="130">
        <v>4216.3019999999997</v>
      </c>
      <c r="E10" s="138"/>
    </row>
    <row r="11" spans="1:5">
      <c r="A11" s="157" t="s">
        <v>53</v>
      </c>
      <c r="B11" s="130">
        <v>2307.268</v>
      </c>
      <c r="C11" s="130">
        <v>2050</v>
      </c>
      <c r="D11" s="130">
        <v>4435.232</v>
      </c>
      <c r="E11" s="138"/>
    </row>
    <row r="12" spans="1:5">
      <c r="A12" s="135"/>
      <c r="B12" s="138"/>
      <c r="C12" s="138"/>
      <c r="D12" s="138"/>
    </row>
    <row r="13" spans="1:5">
      <c r="A13" s="135"/>
      <c r="B13" s="138"/>
      <c r="C13" s="138"/>
      <c r="D13" s="138"/>
    </row>
    <row r="14" spans="1:5">
      <c r="A14" s="135"/>
      <c r="B14" s="138"/>
      <c r="C14" s="138"/>
      <c r="D14" s="138"/>
    </row>
    <row r="15" spans="1:5">
      <c r="A15" s="135"/>
      <c r="B15" s="138"/>
      <c r="C15" s="138"/>
      <c r="D15" s="138"/>
    </row>
    <row r="16" spans="1:5">
      <c r="A16" s="135"/>
      <c r="B16" s="138"/>
      <c r="C16" s="138"/>
      <c r="D16" s="138"/>
    </row>
    <row r="17" spans="1:4">
      <c r="A17" s="135"/>
      <c r="B17" s="138"/>
      <c r="C17" s="138"/>
      <c r="D17" s="138"/>
    </row>
    <row r="18" spans="1:4">
      <c r="A18" s="135"/>
      <c r="B18" s="138"/>
      <c r="C18" s="138"/>
      <c r="D18" s="138"/>
    </row>
    <row r="19" spans="1:4">
      <c r="A19" s="135"/>
      <c r="B19" s="138"/>
      <c r="C19" s="138"/>
      <c r="D19" s="138"/>
    </row>
    <row r="20" spans="1:4">
      <c r="A20" s="135"/>
      <c r="B20" s="138"/>
      <c r="C20" s="138"/>
      <c r="D20" s="138"/>
    </row>
    <row r="21" spans="1:4">
      <c r="A21" s="135"/>
      <c r="B21" s="138"/>
      <c r="C21" s="138"/>
      <c r="D21" s="138"/>
    </row>
    <row r="22" spans="1:4">
      <c r="A22" s="135"/>
      <c r="B22" s="138"/>
      <c r="C22" s="138"/>
      <c r="D22" s="138"/>
    </row>
    <row r="23" spans="1:4">
      <c r="A23" s="135"/>
      <c r="B23" s="138"/>
      <c r="C23" s="138"/>
      <c r="D23" s="138"/>
    </row>
    <row r="24" spans="1:4">
      <c r="A24" s="135"/>
      <c r="B24" s="138"/>
      <c r="C24" s="138"/>
      <c r="D24" s="138"/>
    </row>
    <row r="25" spans="1:4">
      <c r="A25" s="135"/>
      <c r="B25" s="138"/>
      <c r="C25" s="138"/>
      <c r="D25" s="138"/>
    </row>
    <row r="26" spans="1:4">
      <c r="A26" s="135"/>
      <c r="B26" s="138"/>
      <c r="C26" s="138"/>
      <c r="D26" s="138"/>
    </row>
    <row r="27" spans="1:4">
      <c r="A27" s="135"/>
      <c r="B27" s="138"/>
      <c r="C27" s="138"/>
      <c r="D27" s="138"/>
    </row>
    <row r="28" spans="1:4">
      <c r="A28" s="135"/>
      <c r="B28" s="138"/>
      <c r="C28" s="138"/>
      <c r="D28" s="138"/>
    </row>
    <row r="29" spans="1:4">
      <c r="A29" s="135"/>
      <c r="B29" s="138"/>
      <c r="C29" s="138"/>
      <c r="D29" s="138"/>
    </row>
    <row r="30" spans="1:4">
      <c r="A30" s="135"/>
      <c r="B30" s="138"/>
      <c r="C30" s="138"/>
      <c r="D30" s="138"/>
    </row>
    <row r="31" spans="1:4">
      <c r="A31" s="135"/>
      <c r="B31" s="138"/>
      <c r="C31" s="138"/>
      <c r="D31" s="138"/>
    </row>
    <row r="32" spans="1:4">
      <c r="A32" s="135"/>
      <c r="B32" s="138"/>
      <c r="C32" s="138"/>
      <c r="D32" s="138"/>
    </row>
    <row r="33" spans="1:4">
      <c r="A33" s="135"/>
      <c r="B33" s="138"/>
      <c r="C33" s="138"/>
      <c r="D33" s="138"/>
    </row>
    <row r="34" spans="1:4">
      <c r="A34" s="135"/>
      <c r="B34" s="138"/>
      <c r="C34" s="138"/>
      <c r="D34" s="138"/>
    </row>
    <row r="35" spans="1:4">
      <c r="A35" s="135"/>
      <c r="B35" s="138"/>
      <c r="C35" s="138"/>
      <c r="D35" s="138"/>
    </row>
    <row r="36" spans="1:4">
      <c r="A36" s="135"/>
      <c r="B36" s="138"/>
      <c r="C36" s="138"/>
      <c r="D36" s="138"/>
    </row>
    <row r="37" spans="1:4">
      <c r="A37" s="135"/>
      <c r="B37" s="138"/>
      <c r="C37" s="138"/>
      <c r="D37" s="138"/>
    </row>
    <row r="38" spans="1:4">
      <c r="A38" s="135"/>
      <c r="B38" s="138"/>
      <c r="C38" s="138"/>
      <c r="D38" s="138"/>
    </row>
    <row r="39" spans="1:4">
      <c r="A39" s="135"/>
      <c r="B39" s="138"/>
      <c r="C39" s="138"/>
      <c r="D39" s="138"/>
    </row>
    <row r="40" spans="1:4">
      <c r="A40" s="135"/>
      <c r="B40" s="138"/>
      <c r="C40" s="138"/>
      <c r="D40" s="138"/>
    </row>
    <row r="41" spans="1:4">
      <c r="A41" s="135"/>
      <c r="B41" s="138"/>
      <c r="C41" s="138"/>
      <c r="D41" s="138"/>
    </row>
    <row r="42" spans="1:4">
      <c r="A42" s="135"/>
      <c r="B42" s="138"/>
      <c r="C42" s="138"/>
      <c r="D42" s="138"/>
    </row>
    <row r="43" spans="1:4">
      <c r="A43" s="135"/>
      <c r="B43" s="138"/>
      <c r="C43" s="138"/>
      <c r="D43" s="138"/>
    </row>
    <row r="44" spans="1:4">
      <c r="A44" s="135"/>
      <c r="B44" s="138"/>
      <c r="C44" s="138"/>
      <c r="D44" s="138"/>
    </row>
    <row r="45" spans="1:4">
      <c r="A45" s="135"/>
      <c r="B45" s="138"/>
      <c r="C45" s="138"/>
      <c r="D45" s="138"/>
    </row>
    <row r="46" spans="1:4">
      <c r="A46" s="135"/>
      <c r="B46" s="138"/>
      <c r="C46" s="138"/>
      <c r="D46" s="138"/>
    </row>
    <row r="47" spans="1:4">
      <c r="A47" s="135"/>
      <c r="B47" s="138"/>
      <c r="C47" s="138"/>
      <c r="D47" s="138"/>
    </row>
    <row r="48" spans="1:4">
      <c r="A48" s="135"/>
      <c r="B48" s="138"/>
      <c r="C48" s="138"/>
      <c r="D48" s="138"/>
    </row>
    <row r="49" spans="1:4">
      <c r="A49" s="135"/>
      <c r="B49" s="138"/>
      <c r="C49" s="138"/>
      <c r="D49" s="138"/>
    </row>
    <row r="50" spans="1:4">
      <c r="A50" s="135"/>
      <c r="B50" s="138"/>
      <c r="C50" s="138"/>
      <c r="D50" s="138"/>
    </row>
    <row r="51" spans="1:4">
      <c r="A51" s="135"/>
      <c r="B51" s="138"/>
      <c r="C51" s="138"/>
      <c r="D51" s="138"/>
    </row>
    <row r="52" spans="1:4">
      <c r="A52" s="135"/>
      <c r="B52" s="138"/>
      <c r="C52" s="138"/>
      <c r="D52" s="138"/>
    </row>
    <row r="53" spans="1:4">
      <c r="A53" s="135"/>
      <c r="B53" s="138"/>
      <c r="C53" s="138"/>
      <c r="D53" s="138"/>
    </row>
    <row r="54" spans="1:4">
      <c r="A54" s="135"/>
      <c r="B54" s="138"/>
      <c r="C54" s="138"/>
      <c r="D54" s="138"/>
    </row>
    <row r="55" spans="1:4">
      <c r="A55" s="135"/>
      <c r="B55" s="138"/>
      <c r="C55" s="138"/>
      <c r="D55" s="138"/>
    </row>
    <row r="56" spans="1:4">
      <c r="A56" s="135"/>
      <c r="B56" s="138"/>
      <c r="C56" s="138"/>
      <c r="D56" s="138"/>
    </row>
    <row r="57" spans="1:4">
      <c r="A57" s="135"/>
      <c r="B57" s="138"/>
      <c r="C57" s="138"/>
      <c r="D57" s="138"/>
    </row>
    <row r="58" spans="1:4">
      <c r="A58" s="135"/>
      <c r="B58" s="138"/>
      <c r="C58" s="138"/>
      <c r="D58" s="138"/>
    </row>
    <row r="59" spans="1:4">
      <c r="A59" s="135"/>
      <c r="B59" s="138"/>
      <c r="C59" s="138"/>
      <c r="D59" s="138"/>
    </row>
    <row r="60" spans="1:4">
      <c r="A60" s="135"/>
      <c r="B60" s="138"/>
      <c r="C60" s="138"/>
      <c r="D60" s="138"/>
    </row>
    <row r="61" spans="1:4">
      <c r="A61" s="135"/>
      <c r="B61" s="138"/>
      <c r="C61" s="138"/>
      <c r="D61" s="138"/>
    </row>
    <row r="62" spans="1:4">
      <c r="A62" s="135"/>
      <c r="B62" s="138"/>
      <c r="C62" s="138"/>
      <c r="D62" s="138"/>
    </row>
    <row r="63" spans="1:4">
      <c r="A63" s="135"/>
      <c r="B63" s="138"/>
      <c r="C63" s="138"/>
      <c r="D63" s="138"/>
    </row>
    <row r="64" spans="1:4">
      <c r="A64" s="135"/>
      <c r="B64" s="138"/>
      <c r="C64" s="138"/>
      <c r="D64" s="138"/>
    </row>
    <row r="65" spans="1:4">
      <c r="A65" s="135"/>
      <c r="B65" s="138"/>
      <c r="C65" s="138"/>
      <c r="D65" s="138"/>
    </row>
    <row r="66" spans="1:4">
      <c r="A66" s="135"/>
      <c r="B66" s="138"/>
      <c r="C66" s="138"/>
      <c r="D66" s="138"/>
    </row>
    <row r="67" spans="1:4">
      <c r="A67" s="135"/>
      <c r="B67" s="138"/>
      <c r="C67" s="138"/>
      <c r="D67" s="138"/>
    </row>
    <row r="68" spans="1:4">
      <c r="A68" s="135"/>
      <c r="B68" s="138"/>
      <c r="C68" s="138"/>
      <c r="D68" s="138"/>
    </row>
    <row r="69" spans="1:4">
      <c r="A69" s="135"/>
      <c r="B69" s="138"/>
      <c r="C69" s="138"/>
      <c r="D69" s="138"/>
    </row>
    <row r="70" spans="1:4">
      <c r="A70" s="135"/>
      <c r="B70" s="138"/>
      <c r="C70" s="138"/>
      <c r="D70" s="138"/>
    </row>
    <row r="71" spans="1:4">
      <c r="A71" s="135"/>
      <c r="B71" s="138"/>
      <c r="C71" s="138"/>
      <c r="D71" s="138"/>
    </row>
    <row r="72" spans="1:4">
      <c r="A72" s="135"/>
      <c r="B72" s="138"/>
      <c r="C72" s="138"/>
      <c r="D72" s="138"/>
    </row>
    <row r="73" spans="1:4">
      <c r="A73" s="135"/>
      <c r="B73" s="138"/>
      <c r="C73" s="138"/>
      <c r="D73" s="138"/>
    </row>
    <row r="74" spans="1:4">
      <c r="A74" s="135"/>
      <c r="B74" s="138"/>
      <c r="C74" s="138"/>
      <c r="D74" s="138"/>
    </row>
    <row r="75" spans="1:4">
      <c r="A75" s="135"/>
      <c r="B75" s="138"/>
      <c r="C75" s="138"/>
      <c r="D75" s="138"/>
    </row>
    <row r="76" spans="1:4">
      <c r="A76" s="135"/>
      <c r="B76" s="138"/>
      <c r="C76" s="138"/>
      <c r="D76" s="138"/>
    </row>
    <row r="77" spans="1:4">
      <c r="A77" s="135"/>
      <c r="B77" s="138"/>
      <c r="C77" s="138"/>
      <c r="D77" s="138"/>
    </row>
    <row r="78" spans="1:4">
      <c r="A78" s="135"/>
      <c r="B78" s="138"/>
      <c r="C78" s="138"/>
      <c r="D78" s="138"/>
    </row>
    <row r="79" spans="1:4">
      <c r="A79" s="135"/>
      <c r="B79" s="138"/>
      <c r="C79" s="138"/>
      <c r="D79" s="138"/>
    </row>
    <row r="80" spans="1:4">
      <c r="A80" s="135"/>
      <c r="B80" s="138"/>
      <c r="C80" s="138"/>
      <c r="D80" s="138"/>
    </row>
    <row r="81" spans="1:4">
      <c r="A81" s="135"/>
      <c r="B81" s="138"/>
      <c r="C81" s="138"/>
      <c r="D81" s="138"/>
    </row>
    <row r="82" spans="1:4">
      <c r="A82" s="135"/>
      <c r="B82" s="138"/>
      <c r="C82" s="138"/>
      <c r="D82" s="138"/>
    </row>
    <row r="83" spans="1:4">
      <c r="A83" s="135"/>
      <c r="B83" s="138"/>
      <c r="C83" s="138"/>
      <c r="D83" s="138"/>
    </row>
    <row r="84" spans="1:4">
      <c r="A84" s="135"/>
      <c r="B84" s="138"/>
      <c r="C84" s="138"/>
      <c r="D84" s="138"/>
    </row>
    <row r="85" spans="1:4">
      <c r="A85" s="135"/>
      <c r="B85" s="138"/>
      <c r="C85" s="138"/>
      <c r="D85" s="138"/>
    </row>
    <row r="86" spans="1:4">
      <c r="A86" s="135"/>
      <c r="B86" s="138"/>
      <c r="C86" s="138"/>
      <c r="D86" s="138"/>
    </row>
    <row r="87" spans="1:4">
      <c r="A87" s="135"/>
      <c r="B87" s="138"/>
      <c r="C87" s="138"/>
      <c r="D87" s="138"/>
    </row>
    <row r="88" spans="1:4">
      <c r="A88" s="135"/>
      <c r="B88" s="138"/>
      <c r="C88" s="138"/>
      <c r="D88" s="138"/>
    </row>
    <row r="89" spans="1:4">
      <c r="A89" s="135"/>
      <c r="B89" s="138"/>
      <c r="C89" s="138"/>
      <c r="D89" s="138"/>
    </row>
    <row r="90" spans="1:4">
      <c r="A90" s="135"/>
      <c r="B90" s="138"/>
      <c r="C90" s="138"/>
      <c r="D90" s="138"/>
    </row>
    <row r="91" spans="1:4">
      <c r="A91" s="135"/>
      <c r="B91" s="138"/>
      <c r="C91" s="138"/>
      <c r="D91" s="138"/>
    </row>
    <row r="92" spans="1:4">
      <c r="A92" s="135"/>
      <c r="B92" s="138"/>
      <c r="C92" s="138"/>
      <c r="D92" s="138"/>
    </row>
    <row r="93" spans="1:4">
      <c r="A93" s="135"/>
      <c r="B93" s="138"/>
      <c r="C93" s="138"/>
      <c r="D93" s="138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17090-1F09-47B1-BC37-ACEAC10B6A08}">
  <dimension ref="A1:E94"/>
  <sheetViews>
    <sheetView zoomScaleNormal="100" workbookViewId="0"/>
  </sheetViews>
  <sheetFormatPr defaultColWidth="9.109375" defaultRowHeight="13.2"/>
  <cols>
    <col min="1" max="1" width="12.5546875" customWidth="1"/>
    <col min="2" max="3" width="13.33203125" customWidth="1"/>
    <col min="4" max="4" width="20.88671875" customWidth="1"/>
    <col min="5" max="5" width="17.6640625" customWidth="1"/>
  </cols>
  <sheetData>
    <row r="1" spans="1:5">
      <c r="B1" s="158" t="s">
        <v>174</v>
      </c>
      <c r="C1" s="158"/>
      <c r="D1" s="158" t="s">
        <v>175</v>
      </c>
      <c r="E1" s="158"/>
    </row>
    <row r="2" spans="1:5">
      <c r="A2" s="156" t="s">
        <v>152</v>
      </c>
      <c r="B2" s="137" t="s">
        <v>176</v>
      </c>
      <c r="C2" s="137" t="s">
        <v>177</v>
      </c>
      <c r="D2" s="137" t="s">
        <v>178</v>
      </c>
      <c r="E2" s="137" t="s">
        <v>122</v>
      </c>
    </row>
    <row r="3" spans="1:5">
      <c r="A3" s="135" t="s">
        <v>112</v>
      </c>
      <c r="B3" s="148">
        <v>8.9499999999999993</v>
      </c>
      <c r="C3" s="148">
        <v>8.9499999999999993</v>
      </c>
      <c r="D3" s="148">
        <v>19.600000000000001</v>
      </c>
      <c r="E3" s="148">
        <v>15.6</v>
      </c>
    </row>
    <row r="4" spans="1:5">
      <c r="A4" s="135" t="s">
        <v>113</v>
      </c>
      <c r="B4" s="148">
        <v>9.4700000000000006</v>
      </c>
      <c r="C4" s="148">
        <v>8</v>
      </c>
      <c r="D4" s="148">
        <v>17.399999999999999</v>
      </c>
      <c r="E4" s="148">
        <v>16.600000000000001</v>
      </c>
    </row>
    <row r="5" spans="1:5">
      <c r="A5" s="135" t="s">
        <v>114</v>
      </c>
      <c r="B5" s="148">
        <v>9.33</v>
      </c>
      <c r="C5" s="148">
        <v>9.5299999999999994</v>
      </c>
      <c r="D5" s="148">
        <v>17.2</v>
      </c>
      <c r="E5" s="148">
        <v>17.5</v>
      </c>
    </row>
    <row r="6" spans="1:5">
      <c r="A6" s="135" t="s">
        <v>115</v>
      </c>
      <c r="B6" s="148">
        <v>8.48</v>
      </c>
      <c r="C6" s="148">
        <v>9.89</v>
      </c>
      <c r="D6" s="148">
        <v>17.399999999999999</v>
      </c>
      <c r="E6" s="148">
        <v>15.8</v>
      </c>
    </row>
    <row r="7" spans="1:5">
      <c r="A7" s="135" t="s">
        <v>32</v>
      </c>
      <c r="B7" s="148">
        <v>8.57</v>
      </c>
      <c r="C7" s="148">
        <v>9.15</v>
      </c>
      <c r="D7" s="148">
        <v>19.5</v>
      </c>
      <c r="E7" s="148">
        <v>14.8</v>
      </c>
    </row>
    <row r="8" spans="1:5">
      <c r="A8" s="135" t="s">
        <v>36</v>
      </c>
      <c r="B8" s="148">
        <v>10.8</v>
      </c>
      <c r="C8" s="148">
        <v>11.102000000000002</v>
      </c>
      <c r="D8" s="148">
        <v>21.3</v>
      </c>
      <c r="E8" s="148">
        <v>18.400000000000002</v>
      </c>
    </row>
    <row r="9" spans="1:5">
      <c r="A9" s="154" t="s">
        <v>155</v>
      </c>
      <c r="B9" s="85">
        <v>12.6</v>
      </c>
      <c r="C9" s="85">
        <v>27</v>
      </c>
      <c r="D9" s="85">
        <v>31.55</v>
      </c>
      <c r="E9" s="85">
        <v>32</v>
      </c>
    </row>
    <row r="10" spans="1:5">
      <c r="A10" s="135"/>
      <c r="B10" s="139"/>
      <c r="D10" s="139"/>
    </row>
    <row r="11" spans="1:5">
      <c r="A11" s="135"/>
      <c r="B11" s="139"/>
      <c r="D11" s="139"/>
    </row>
    <row r="12" spans="1:5">
      <c r="A12" s="155"/>
      <c r="B12" s="139"/>
      <c r="D12" s="139"/>
    </row>
    <row r="13" spans="1:5">
      <c r="A13" s="155"/>
      <c r="B13" s="139"/>
      <c r="D13" s="139"/>
    </row>
    <row r="14" spans="1:5">
      <c r="A14" s="155"/>
      <c r="B14" s="139"/>
      <c r="D14" s="139"/>
    </row>
    <row r="15" spans="1:5">
      <c r="A15" s="155"/>
      <c r="B15" s="139"/>
      <c r="D15" s="139"/>
    </row>
    <row r="16" spans="1:5">
      <c r="A16" s="155"/>
      <c r="B16" s="139"/>
      <c r="D16" s="139"/>
    </row>
    <row r="17" spans="1:4">
      <c r="A17" s="155"/>
      <c r="B17" s="139"/>
      <c r="D17" s="139"/>
    </row>
    <row r="18" spans="1:4">
      <c r="A18" s="155"/>
      <c r="B18" s="139"/>
      <c r="D18" s="139"/>
    </row>
    <row r="19" spans="1:4">
      <c r="A19" s="135"/>
      <c r="B19" s="139"/>
      <c r="D19" s="139"/>
    </row>
    <row r="20" spans="1:4">
      <c r="A20" s="135"/>
      <c r="B20" s="139"/>
      <c r="D20" s="139"/>
    </row>
    <row r="21" spans="1:4">
      <c r="A21" s="135"/>
      <c r="B21" s="139"/>
      <c r="D21" s="139"/>
    </row>
    <row r="22" spans="1:4">
      <c r="A22" s="135"/>
      <c r="B22" s="139"/>
      <c r="D22" s="139"/>
    </row>
    <row r="23" spans="1:4">
      <c r="A23" s="135"/>
      <c r="B23" s="139"/>
      <c r="D23" s="139"/>
    </row>
    <row r="24" spans="1:4">
      <c r="A24" s="135"/>
      <c r="B24" s="139"/>
      <c r="D24" s="139"/>
    </row>
    <row r="25" spans="1:4">
      <c r="A25" s="135"/>
      <c r="B25" s="139"/>
      <c r="D25" s="139"/>
    </row>
    <row r="26" spans="1:4">
      <c r="A26" s="135"/>
      <c r="B26" s="139"/>
      <c r="D26" s="139"/>
    </row>
    <row r="27" spans="1:4">
      <c r="A27" s="135"/>
      <c r="B27" s="139"/>
      <c r="D27" s="139"/>
    </row>
    <row r="28" spans="1:4">
      <c r="A28" s="135"/>
      <c r="B28" s="139"/>
      <c r="D28" s="139"/>
    </row>
    <row r="29" spans="1:4">
      <c r="A29" s="135"/>
      <c r="B29" s="139"/>
      <c r="D29" s="139"/>
    </row>
    <row r="30" spans="1:4">
      <c r="A30" s="135"/>
      <c r="B30" s="139"/>
      <c r="D30" s="139"/>
    </row>
    <row r="31" spans="1:4">
      <c r="A31" s="135"/>
      <c r="B31" s="139"/>
      <c r="D31" s="139"/>
    </row>
    <row r="32" spans="1:4">
      <c r="A32" s="135"/>
      <c r="B32" s="139"/>
      <c r="D32" s="139"/>
    </row>
    <row r="33" spans="1:4">
      <c r="A33" s="135"/>
      <c r="B33" s="139"/>
      <c r="D33" s="139"/>
    </row>
    <row r="34" spans="1:4">
      <c r="A34" s="135"/>
      <c r="B34" s="139"/>
      <c r="D34" s="139"/>
    </row>
    <row r="35" spans="1:4">
      <c r="A35" s="135"/>
      <c r="B35" s="139"/>
      <c r="D35" s="139"/>
    </row>
    <row r="36" spans="1:4">
      <c r="A36" s="135"/>
      <c r="B36" s="139"/>
      <c r="D36" s="139"/>
    </row>
    <row r="37" spans="1:4">
      <c r="A37" s="135"/>
      <c r="B37" s="139"/>
      <c r="D37" s="139"/>
    </row>
    <row r="38" spans="1:4">
      <c r="A38" s="135"/>
      <c r="B38" s="139"/>
      <c r="D38" s="139"/>
    </row>
    <row r="39" spans="1:4">
      <c r="A39" s="135"/>
      <c r="B39" s="139"/>
      <c r="D39" s="139"/>
    </row>
    <row r="40" spans="1:4">
      <c r="A40" s="135"/>
      <c r="B40" s="139"/>
      <c r="D40" s="139"/>
    </row>
    <row r="41" spans="1:4">
      <c r="A41" s="135"/>
      <c r="B41" s="139"/>
      <c r="D41" s="139"/>
    </row>
    <row r="42" spans="1:4">
      <c r="A42" s="135"/>
      <c r="B42" s="139"/>
      <c r="D42" s="139"/>
    </row>
    <row r="43" spans="1:4">
      <c r="A43" s="135"/>
      <c r="B43" s="139"/>
      <c r="D43" s="139"/>
    </row>
    <row r="44" spans="1:4">
      <c r="A44" s="135"/>
      <c r="B44" s="139"/>
      <c r="D44" s="139"/>
    </row>
    <row r="45" spans="1:4">
      <c r="A45" s="135"/>
      <c r="B45" s="139"/>
      <c r="D45" s="139"/>
    </row>
    <row r="46" spans="1:4">
      <c r="A46" s="135"/>
      <c r="B46" s="139"/>
      <c r="D46" s="139"/>
    </row>
    <row r="47" spans="1:4">
      <c r="A47" s="135"/>
      <c r="B47" s="139"/>
      <c r="D47" s="139"/>
    </row>
    <row r="48" spans="1:4">
      <c r="A48" s="135"/>
      <c r="B48" s="139"/>
      <c r="D48" s="139"/>
    </row>
    <row r="49" spans="1:4">
      <c r="A49" s="135"/>
      <c r="B49" s="139"/>
      <c r="D49" s="139"/>
    </row>
    <row r="50" spans="1:4">
      <c r="A50" s="135"/>
      <c r="B50" s="139"/>
      <c r="D50" s="139"/>
    </row>
    <row r="51" spans="1:4">
      <c r="A51" s="135"/>
      <c r="B51" s="139"/>
      <c r="D51" s="139"/>
    </row>
    <row r="52" spans="1:4">
      <c r="A52" s="135"/>
      <c r="B52" s="139"/>
      <c r="D52" s="139"/>
    </row>
    <row r="53" spans="1:4">
      <c r="A53" s="135"/>
      <c r="B53" s="139"/>
      <c r="D53" s="139"/>
    </row>
    <row r="54" spans="1:4">
      <c r="A54" s="135"/>
      <c r="B54" s="139"/>
      <c r="D54" s="139"/>
    </row>
    <row r="55" spans="1:4">
      <c r="A55" s="135"/>
      <c r="B55" s="139"/>
      <c r="D55" s="139"/>
    </row>
    <row r="56" spans="1:4">
      <c r="A56" s="135"/>
      <c r="B56" s="139"/>
      <c r="D56" s="139"/>
    </row>
    <row r="57" spans="1:4">
      <c r="A57" s="135"/>
      <c r="B57" s="139"/>
      <c r="D57" s="139"/>
    </row>
    <row r="58" spans="1:4">
      <c r="A58" s="135"/>
      <c r="B58" s="139"/>
      <c r="D58" s="139"/>
    </row>
    <row r="59" spans="1:4">
      <c r="A59" s="135"/>
      <c r="B59" s="139"/>
      <c r="D59" s="139"/>
    </row>
    <row r="60" spans="1:4">
      <c r="A60" s="135"/>
      <c r="B60" s="139"/>
      <c r="D60" s="139"/>
    </row>
    <row r="61" spans="1:4">
      <c r="A61" s="135"/>
      <c r="B61" s="139"/>
      <c r="D61" s="139"/>
    </row>
    <row r="62" spans="1:4">
      <c r="A62" s="135"/>
      <c r="B62" s="139"/>
      <c r="D62" s="139"/>
    </row>
    <row r="63" spans="1:4">
      <c r="A63" s="135"/>
      <c r="B63" s="139"/>
      <c r="D63" s="139"/>
    </row>
    <row r="64" spans="1:4">
      <c r="A64" s="135"/>
      <c r="B64" s="139"/>
      <c r="D64" s="139"/>
    </row>
    <row r="65" spans="1:4">
      <c r="A65" s="135"/>
      <c r="B65" s="139"/>
      <c r="D65" s="139"/>
    </row>
    <row r="66" spans="1:4">
      <c r="A66" s="135"/>
      <c r="B66" s="139"/>
      <c r="D66" s="139"/>
    </row>
    <row r="67" spans="1:4">
      <c r="A67" s="135"/>
      <c r="B67" s="139"/>
      <c r="D67" s="139"/>
    </row>
    <row r="68" spans="1:4">
      <c r="A68" s="135"/>
      <c r="B68" s="139"/>
      <c r="D68" s="139"/>
    </row>
    <row r="69" spans="1:4">
      <c r="A69" s="135"/>
      <c r="B69" s="139"/>
      <c r="D69" s="139"/>
    </row>
    <row r="70" spans="1:4">
      <c r="A70" s="135"/>
      <c r="B70" s="139"/>
      <c r="D70" s="139"/>
    </row>
    <row r="71" spans="1:4">
      <c r="A71" s="135"/>
      <c r="B71" s="139"/>
      <c r="D71" s="139"/>
    </row>
    <row r="72" spans="1:4">
      <c r="A72" s="135"/>
      <c r="B72" s="139"/>
      <c r="D72" s="139"/>
    </row>
    <row r="73" spans="1:4">
      <c r="A73" s="135"/>
      <c r="B73" s="139"/>
      <c r="D73" s="139"/>
    </row>
    <row r="74" spans="1:4">
      <c r="A74" s="135"/>
      <c r="B74" s="139"/>
      <c r="D74" s="139"/>
    </row>
    <row r="75" spans="1:4">
      <c r="A75" s="135"/>
      <c r="B75" s="139"/>
      <c r="D75" s="139"/>
    </row>
    <row r="76" spans="1:4">
      <c r="A76" s="135"/>
      <c r="B76" s="139"/>
      <c r="D76" s="139"/>
    </row>
    <row r="77" spans="1:4">
      <c r="A77" s="135"/>
      <c r="B77" s="139"/>
      <c r="D77" s="139"/>
    </row>
    <row r="78" spans="1:4">
      <c r="A78" s="135"/>
      <c r="B78" s="139"/>
      <c r="D78" s="139"/>
    </row>
    <row r="79" spans="1:4">
      <c r="A79" s="135"/>
      <c r="B79" s="139"/>
      <c r="D79" s="139"/>
    </row>
    <row r="80" spans="1:4">
      <c r="A80" s="135"/>
      <c r="B80" s="139"/>
      <c r="D80" s="139"/>
    </row>
    <row r="81" spans="1:4">
      <c r="A81" s="135"/>
      <c r="B81" s="139"/>
      <c r="D81" s="139"/>
    </row>
    <row r="82" spans="1:4">
      <c r="A82" s="135"/>
      <c r="B82" s="139"/>
      <c r="D82" s="139"/>
    </row>
    <row r="83" spans="1:4">
      <c r="A83" s="135"/>
      <c r="B83" s="139"/>
      <c r="D83" s="139"/>
    </row>
    <row r="84" spans="1:4">
      <c r="A84" s="135"/>
      <c r="B84" s="139"/>
      <c r="D84" s="139"/>
    </row>
    <row r="85" spans="1:4">
      <c r="A85" s="135"/>
      <c r="B85" s="139"/>
      <c r="D85" s="139"/>
    </row>
    <row r="86" spans="1:4">
      <c r="A86" s="135"/>
      <c r="B86" s="139"/>
      <c r="D86" s="139"/>
    </row>
    <row r="87" spans="1:4">
      <c r="A87" s="135"/>
      <c r="B87" s="139"/>
      <c r="D87" s="139"/>
    </row>
    <row r="88" spans="1:4">
      <c r="A88" s="135"/>
      <c r="B88" s="139"/>
      <c r="D88" s="139"/>
    </row>
    <row r="89" spans="1:4">
      <c r="A89" s="135"/>
      <c r="B89" s="139"/>
      <c r="D89" s="139"/>
    </row>
    <row r="90" spans="1:4">
      <c r="A90" s="135"/>
      <c r="B90" s="139"/>
      <c r="D90" s="139"/>
    </row>
    <row r="91" spans="1:4">
      <c r="A91" s="135"/>
      <c r="B91" s="139"/>
      <c r="D91" s="139"/>
    </row>
    <row r="92" spans="1:4">
      <c r="A92" s="135"/>
      <c r="B92" s="139"/>
      <c r="D92" s="139"/>
    </row>
    <row r="93" spans="1:4">
      <c r="A93" s="135"/>
      <c r="B93" s="139"/>
      <c r="D93" s="139"/>
    </row>
    <row r="94" spans="1:4">
      <c r="A94" s="135"/>
      <c r="B94" s="139"/>
      <c r="D94" s="13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B850-162C-41E2-816C-450C4A710684}">
  <dimension ref="A1:E90"/>
  <sheetViews>
    <sheetView zoomScale="90" zoomScaleNormal="90" workbookViewId="0">
      <selection activeCell="F26" sqref="F26"/>
    </sheetView>
  </sheetViews>
  <sheetFormatPr defaultColWidth="9.109375" defaultRowHeight="13.2"/>
  <cols>
    <col min="1" max="1" width="13.44140625" style="136" bestFit="1" customWidth="1"/>
    <col min="2" max="2" width="10.44140625" style="136" customWidth="1"/>
    <col min="3" max="3" width="11.33203125" style="136" customWidth="1"/>
    <col min="4" max="4" width="10.5546875" style="136" customWidth="1"/>
    <col min="5" max="16384" width="9.109375" style="136"/>
  </cols>
  <sheetData>
    <row r="1" spans="1:5" ht="26.4">
      <c r="A1" s="126" t="s">
        <v>151</v>
      </c>
      <c r="B1" s="126" t="s">
        <v>154</v>
      </c>
      <c r="C1" s="126" t="s">
        <v>28</v>
      </c>
      <c r="D1" s="126" t="s">
        <v>25</v>
      </c>
    </row>
    <row r="2" spans="1:5">
      <c r="A2" s="147" t="s">
        <v>113</v>
      </c>
      <c r="B2" s="149">
        <v>2.6219999999999999</v>
      </c>
      <c r="C2" s="149">
        <v>16.312999999999999</v>
      </c>
      <c r="D2" s="149">
        <v>18.858000000000001</v>
      </c>
      <c r="E2" s="138"/>
    </row>
    <row r="3" spans="1:5">
      <c r="A3" s="147" t="s">
        <v>114</v>
      </c>
      <c r="B3" s="149">
        <v>3.238</v>
      </c>
      <c r="C3" s="149">
        <v>16.472000000000001</v>
      </c>
      <c r="D3" s="149">
        <v>19.683</v>
      </c>
      <c r="E3" s="138"/>
    </row>
    <row r="4" spans="1:5">
      <c r="A4" s="147" t="s">
        <v>115</v>
      </c>
      <c r="B4" s="149">
        <v>3.5219999999999998</v>
      </c>
      <c r="C4" s="149">
        <v>18.361999999999998</v>
      </c>
      <c r="D4" s="149">
        <v>20.8</v>
      </c>
      <c r="E4" s="138"/>
    </row>
    <row r="5" spans="1:5">
      <c r="A5" s="147" t="s">
        <v>32</v>
      </c>
      <c r="B5" s="149">
        <v>3.5430000000000001</v>
      </c>
      <c r="C5" s="149">
        <v>17.212</v>
      </c>
      <c r="D5" s="149">
        <v>19.254999999999999</v>
      </c>
      <c r="E5" s="138"/>
    </row>
    <row r="6" spans="1:5">
      <c r="A6" s="147" t="s">
        <v>36</v>
      </c>
      <c r="B6" s="149">
        <v>3.37</v>
      </c>
      <c r="C6" s="149">
        <v>15.866</v>
      </c>
      <c r="D6" s="149">
        <v>17.853999999999999</v>
      </c>
      <c r="E6" s="138"/>
    </row>
    <row r="7" spans="1:5">
      <c r="A7" s="147" t="s">
        <v>166</v>
      </c>
      <c r="B7" s="149">
        <v>3.37</v>
      </c>
      <c r="C7" s="149">
        <v>17.22</v>
      </c>
      <c r="D7" s="149">
        <v>19.7</v>
      </c>
      <c r="E7" s="138"/>
    </row>
    <row r="8" spans="1:5">
      <c r="A8" s="157" t="s">
        <v>167</v>
      </c>
      <c r="B8" s="149">
        <v>3.37</v>
      </c>
      <c r="C8" s="149">
        <v>16.22</v>
      </c>
      <c r="D8" s="149">
        <v>18.7</v>
      </c>
      <c r="E8" s="138"/>
    </row>
    <row r="9" spans="1:5">
      <c r="A9" s="135"/>
      <c r="B9" s="138"/>
      <c r="C9" s="138"/>
      <c r="D9" s="138"/>
    </row>
    <row r="10" spans="1:5">
      <c r="A10" s="135"/>
      <c r="B10" s="138"/>
      <c r="C10" s="138"/>
      <c r="D10" s="138"/>
    </row>
    <row r="11" spans="1:5">
      <c r="A11" s="135"/>
      <c r="B11" s="138"/>
      <c r="C11" s="138"/>
      <c r="D11" s="138"/>
    </row>
    <row r="12" spans="1:5">
      <c r="A12" s="135"/>
      <c r="B12" s="138"/>
      <c r="C12" s="138"/>
      <c r="D12" s="138"/>
    </row>
    <row r="13" spans="1:5">
      <c r="A13" s="135"/>
      <c r="B13" s="138"/>
      <c r="C13" s="138"/>
      <c r="D13" s="138"/>
    </row>
    <row r="14" spans="1:5">
      <c r="A14" s="135"/>
      <c r="B14" s="138"/>
      <c r="C14" s="138"/>
      <c r="D14" s="138"/>
    </row>
    <row r="15" spans="1:5">
      <c r="A15" s="135"/>
      <c r="B15" s="138"/>
      <c r="C15" s="138"/>
      <c r="D15" s="138"/>
    </row>
    <row r="16" spans="1:5">
      <c r="A16" s="135"/>
      <c r="B16" s="138"/>
      <c r="C16" s="138"/>
      <c r="D16" s="138"/>
    </row>
    <row r="17" spans="1:4">
      <c r="A17" s="135"/>
      <c r="B17" s="138"/>
      <c r="C17" s="138"/>
      <c r="D17" s="138"/>
    </row>
    <row r="18" spans="1:4">
      <c r="A18" s="135"/>
      <c r="B18" s="138"/>
      <c r="C18" s="138"/>
      <c r="D18" s="138"/>
    </row>
    <row r="19" spans="1:4">
      <c r="A19" s="135"/>
      <c r="B19" s="138"/>
      <c r="C19" s="138"/>
      <c r="D19" s="138"/>
    </row>
    <row r="20" spans="1:4">
      <c r="A20" s="135"/>
      <c r="B20" s="138"/>
      <c r="C20" s="138"/>
      <c r="D20" s="138"/>
    </row>
    <row r="21" spans="1:4">
      <c r="A21" s="135"/>
      <c r="B21" s="138"/>
      <c r="C21" s="138"/>
      <c r="D21" s="138"/>
    </row>
    <row r="22" spans="1:4">
      <c r="A22" s="135"/>
      <c r="B22" s="138"/>
      <c r="C22" s="138"/>
      <c r="D22" s="138"/>
    </row>
    <row r="23" spans="1:4">
      <c r="A23" s="135"/>
      <c r="B23" s="138"/>
      <c r="C23" s="138"/>
      <c r="D23" s="138"/>
    </row>
    <row r="24" spans="1:4">
      <c r="A24" s="135"/>
      <c r="B24" s="138"/>
      <c r="C24" s="138"/>
      <c r="D24" s="138"/>
    </row>
    <row r="25" spans="1:4">
      <c r="A25" s="135"/>
      <c r="B25" s="138"/>
      <c r="C25" s="138"/>
      <c r="D25" s="138"/>
    </row>
    <row r="26" spans="1:4">
      <c r="A26" s="135"/>
      <c r="B26" s="138"/>
      <c r="C26" s="138"/>
      <c r="D26" s="138"/>
    </row>
    <row r="27" spans="1:4">
      <c r="A27" s="135"/>
      <c r="B27" s="138"/>
      <c r="C27" s="138"/>
      <c r="D27" s="138"/>
    </row>
    <row r="28" spans="1:4">
      <c r="A28" s="135"/>
      <c r="B28" s="138"/>
      <c r="C28" s="138"/>
      <c r="D28" s="138"/>
    </row>
    <row r="29" spans="1:4">
      <c r="A29" s="135"/>
      <c r="B29" s="138"/>
      <c r="C29" s="138"/>
      <c r="D29" s="138"/>
    </row>
    <row r="30" spans="1:4">
      <c r="A30" s="135"/>
      <c r="B30" s="138"/>
      <c r="C30" s="138"/>
      <c r="D30" s="138"/>
    </row>
    <row r="31" spans="1:4">
      <c r="A31" s="135"/>
      <c r="B31" s="138"/>
      <c r="C31" s="138"/>
      <c r="D31" s="138"/>
    </row>
    <row r="32" spans="1:4">
      <c r="A32" s="135"/>
      <c r="B32" s="138"/>
      <c r="C32" s="138"/>
      <c r="D32" s="138"/>
    </row>
    <row r="33" spans="1:4">
      <c r="A33" s="135"/>
      <c r="B33" s="138"/>
      <c r="C33" s="138"/>
      <c r="D33" s="138"/>
    </row>
    <row r="34" spans="1:4">
      <c r="A34" s="135"/>
      <c r="B34" s="138"/>
      <c r="C34" s="138"/>
      <c r="D34" s="138"/>
    </row>
    <row r="35" spans="1:4">
      <c r="A35" s="135"/>
      <c r="B35" s="138"/>
      <c r="C35" s="138"/>
      <c r="D35" s="138"/>
    </row>
    <row r="36" spans="1:4">
      <c r="A36" s="135"/>
      <c r="B36" s="138"/>
      <c r="C36" s="138"/>
      <c r="D36" s="138"/>
    </row>
    <row r="37" spans="1:4">
      <c r="A37" s="135"/>
      <c r="B37" s="138"/>
      <c r="C37" s="138"/>
      <c r="D37" s="138"/>
    </row>
    <row r="38" spans="1:4">
      <c r="A38" s="135"/>
      <c r="B38" s="138"/>
      <c r="C38" s="138"/>
      <c r="D38" s="138"/>
    </row>
    <row r="39" spans="1:4">
      <c r="A39" s="135"/>
      <c r="B39" s="138"/>
      <c r="C39" s="138"/>
      <c r="D39" s="138"/>
    </row>
    <row r="40" spans="1:4">
      <c r="A40" s="135"/>
      <c r="B40" s="138"/>
      <c r="C40" s="138"/>
      <c r="D40" s="138"/>
    </row>
    <row r="41" spans="1:4">
      <c r="A41" s="135"/>
      <c r="B41" s="138"/>
      <c r="C41" s="138"/>
      <c r="D41" s="138"/>
    </row>
    <row r="42" spans="1:4">
      <c r="A42" s="135"/>
      <c r="B42" s="138"/>
      <c r="C42" s="138"/>
      <c r="D42" s="138"/>
    </row>
    <row r="43" spans="1:4">
      <c r="A43" s="135"/>
      <c r="B43" s="138"/>
      <c r="C43" s="138"/>
      <c r="D43" s="138"/>
    </row>
    <row r="44" spans="1:4">
      <c r="A44" s="135"/>
      <c r="B44" s="138"/>
      <c r="C44" s="138"/>
      <c r="D44" s="138"/>
    </row>
    <row r="45" spans="1:4">
      <c r="A45" s="135"/>
      <c r="B45" s="138"/>
      <c r="C45" s="138"/>
      <c r="D45" s="138"/>
    </row>
    <row r="46" spans="1:4">
      <c r="A46" s="135"/>
      <c r="B46" s="138"/>
      <c r="C46" s="138"/>
      <c r="D46" s="138"/>
    </row>
    <row r="47" spans="1:4">
      <c r="A47" s="135"/>
      <c r="B47" s="138"/>
      <c r="C47" s="138"/>
      <c r="D47" s="138"/>
    </row>
    <row r="48" spans="1:4">
      <c r="A48" s="135"/>
      <c r="B48" s="138"/>
      <c r="C48" s="138"/>
      <c r="D48" s="138"/>
    </row>
    <row r="49" spans="1:4">
      <c r="A49" s="135"/>
      <c r="B49" s="138"/>
      <c r="C49" s="138"/>
      <c r="D49" s="138"/>
    </row>
    <row r="50" spans="1:4">
      <c r="A50" s="135"/>
      <c r="B50" s="138"/>
      <c r="C50" s="138"/>
      <c r="D50" s="138"/>
    </row>
    <row r="51" spans="1:4">
      <c r="A51" s="135"/>
      <c r="B51" s="138"/>
      <c r="C51" s="138"/>
      <c r="D51" s="138"/>
    </row>
    <row r="52" spans="1:4">
      <c r="A52" s="135"/>
      <c r="B52" s="138"/>
      <c r="C52" s="138"/>
      <c r="D52" s="138"/>
    </row>
    <row r="53" spans="1:4">
      <c r="A53" s="135"/>
      <c r="B53" s="138"/>
      <c r="C53" s="138"/>
      <c r="D53" s="138"/>
    </row>
    <row r="54" spans="1:4">
      <c r="A54" s="135"/>
      <c r="B54" s="138"/>
      <c r="C54" s="138"/>
      <c r="D54" s="138"/>
    </row>
    <row r="55" spans="1:4">
      <c r="A55" s="135"/>
      <c r="B55" s="138"/>
      <c r="C55" s="138"/>
      <c r="D55" s="138"/>
    </row>
    <row r="56" spans="1:4">
      <c r="A56" s="135"/>
      <c r="B56" s="138"/>
      <c r="C56" s="138"/>
      <c r="D56" s="138"/>
    </row>
    <row r="57" spans="1:4">
      <c r="A57" s="135"/>
      <c r="B57" s="138"/>
      <c r="C57" s="138"/>
      <c r="D57" s="138"/>
    </row>
    <row r="58" spans="1:4">
      <c r="A58" s="135"/>
      <c r="B58" s="138"/>
      <c r="C58" s="138"/>
      <c r="D58" s="138"/>
    </row>
    <row r="59" spans="1:4">
      <c r="A59" s="135"/>
      <c r="B59" s="138"/>
      <c r="C59" s="138"/>
      <c r="D59" s="138"/>
    </row>
    <row r="60" spans="1:4">
      <c r="A60" s="135"/>
      <c r="B60" s="138"/>
      <c r="C60" s="138"/>
      <c r="D60" s="138"/>
    </row>
    <row r="61" spans="1:4">
      <c r="A61" s="135"/>
      <c r="B61" s="138"/>
      <c r="C61" s="138"/>
      <c r="D61" s="138"/>
    </row>
    <row r="62" spans="1:4">
      <c r="A62" s="135"/>
      <c r="B62" s="138"/>
      <c r="C62" s="138"/>
      <c r="D62" s="138"/>
    </row>
    <row r="63" spans="1:4">
      <c r="A63" s="135"/>
      <c r="B63" s="138"/>
      <c r="C63" s="138"/>
      <c r="D63" s="138"/>
    </row>
    <row r="64" spans="1:4">
      <c r="A64" s="135"/>
      <c r="B64" s="138"/>
      <c r="C64" s="138"/>
      <c r="D64" s="138"/>
    </row>
    <row r="65" spans="1:4">
      <c r="A65" s="135"/>
      <c r="B65" s="138"/>
      <c r="C65" s="138"/>
      <c r="D65" s="138"/>
    </row>
    <row r="66" spans="1:4">
      <c r="A66" s="135"/>
      <c r="B66" s="138"/>
      <c r="C66" s="138"/>
      <c r="D66" s="138"/>
    </row>
    <row r="67" spans="1:4">
      <c r="A67" s="135"/>
      <c r="B67" s="138"/>
      <c r="C67" s="138"/>
      <c r="D67" s="138"/>
    </row>
    <row r="68" spans="1:4">
      <c r="A68" s="135"/>
      <c r="B68" s="138"/>
      <c r="C68" s="138"/>
      <c r="D68" s="138"/>
    </row>
    <row r="69" spans="1:4">
      <c r="A69" s="135"/>
      <c r="B69" s="138"/>
      <c r="C69" s="138"/>
      <c r="D69" s="138"/>
    </row>
    <row r="70" spans="1:4">
      <c r="A70" s="135"/>
      <c r="B70" s="138"/>
      <c r="C70" s="138"/>
      <c r="D70" s="138"/>
    </row>
    <row r="71" spans="1:4">
      <c r="A71" s="135"/>
      <c r="B71" s="138"/>
      <c r="C71" s="138"/>
      <c r="D71" s="138"/>
    </row>
    <row r="72" spans="1:4">
      <c r="A72" s="135"/>
      <c r="B72" s="138"/>
      <c r="C72" s="138"/>
      <c r="D72" s="138"/>
    </row>
    <row r="73" spans="1:4">
      <c r="A73" s="135"/>
      <c r="B73" s="138"/>
      <c r="C73" s="138"/>
      <c r="D73" s="138"/>
    </row>
    <row r="74" spans="1:4">
      <c r="A74" s="135"/>
      <c r="B74" s="138"/>
      <c r="C74" s="138"/>
      <c r="D74" s="138"/>
    </row>
    <row r="75" spans="1:4">
      <c r="A75" s="135"/>
      <c r="B75" s="138"/>
      <c r="C75" s="138"/>
      <c r="D75" s="138"/>
    </row>
    <row r="76" spans="1:4">
      <c r="A76" s="135"/>
      <c r="B76" s="138"/>
      <c r="C76" s="138"/>
      <c r="D76" s="138"/>
    </row>
    <row r="77" spans="1:4">
      <c r="A77" s="135"/>
      <c r="B77" s="138"/>
      <c r="C77" s="138"/>
      <c r="D77" s="138"/>
    </row>
    <row r="78" spans="1:4">
      <c r="A78" s="135"/>
      <c r="B78" s="138"/>
      <c r="C78" s="138"/>
      <c r="D78" s="138"/>
    </row>
    <row r="79" spans="1:4">
      <c r="A79" s="135"/>
      <c r="B79" s="138"/>
      <c r="C79" s="138"/>
      <c r="D79" s="138"/>
    </row>
    <row r="80" spans="1:4">
      <c r="A80" s="135"/>
      <c r="B80" s="138"/>
      <c r="C80" s="138"/>
      <c r="D80" s="138"/>
    </row>
    <row r="81" spans="1:4">
      <c r="A81" s="135"/>
      <c r="B81" s="138"/>
      <c r="C81" s="138"/>
      <c r="D81" s="138"/>
    </row>
    <row r="82" spans="1:4">
      <c r="A82" s="135"/>
      <c r="B82" s="138"/>
      <c r="C82" s="138"/>
      <c r="D82" s="138"/>
    </row>
    <row r="83" spans="1:4">
      <c r="A83" s="135"/>
      <c r="B83" s="138"/>
      <c r="C83" s="138"/>
      <c r="D83" s="138"/>
    </row>
    <row r="84" spans="1:4">
      <c r="A84" s="135"/>
      <c r="B84" s="138"/>
      <c r="C84" s="138"/>
      <c r="D84" s="138"/>
    </row>
    <row r="85" spans="1:4">
      <c r="A85" s="135"/>
      <c r="B85" s="138"/>
      <c r="C85" s="138"/>
      <c r="D85" s="138"/>
    </row>
    <row r="86" spans="1:4">
      <c r="A86" s="135"/>
      <c r="B86" s="138"/>
      <c r="C86" s="138"/>
      <c r="D86" s="138"/>
    </row>
    <row r="87" spans="1:4">
      <c r="A87" s="135"/>
      <c r="B87" s="138"/>
      <c r="C87" s="138"/>
      <c r="D87" s="138"/>
    </row>
    <row r="88" spans="1:4">
      <c r="A88" s="135"/>
      <c r="B88" s="138"/>
      <c r="C88" s="138"/>
      <c r="D88" s="138"/>
    </row>
    <row r="89" spans="1:4">
      <c r="A89" s="135"/>
      <c r="B89" s="138"/>
      <c r="C89" s="138"/>
      <c r="D89" s="138"/>
    </row>
    <row r="90" spans="1:4">
      <c r="A90" s="135"/>
      <c r="B90" s="138"/>
      <c r="C90" s="138"/>
      <c r="D90" s="138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34"/>
  <sheetViews>
    <sheetView showGridLines="0" zoomScale="70" zoomScaleNormal="70" workbookViewId="0"/>
  </sheetViews>
  <sheetFormatPr defaultColWidth="9.109375" defaultRowHeight="13.2"/>
  <cols>
    <col min="1" max="1" width="21.6640625" style="18" customWidth="1"/>
    <col min="2" max="2" width="14.109375" style="18" bestFit="1" customWidth="1"/>
    <col min="3" max="3" width="9.5546875" style="18" customWidth="1"/>
    <col min="4" max="4" width="26.6640625" style="18" customWidth="1"/>
    <col min="5" max="5" width="9.6640625" style="18" customWidth="1"/>
    <col min="6" max="6" width="10.6640625" style="18" customWidth="1"/>
    <col min="7" max="7" width="8.6640625" style="18" bestFit="1" customWidth="1"/>
    <col min="8" max="8" width="9.6640625" style="18" customWidth="1"/>
    <col min="9" max="9" width="1.6640625" style="18" customWidth="1"/>
    <col min="10" max="10" width="9.6640625" style="18" customWidth="1"/>
    <col min="11" max="12" width="10.6640625" style="18" customWidth="1"/>
    <col min="13" max="13" width="10.33203125" style="18" customWidth="1"/>
    <col min="14" max="14" width="9.6640625" style="18" customWidth="1"/>
    <col min="15" max="16" width="9.109375" style="18"/>
    <col min="17" max="17" width="15.44140625" style="18" bestFit="1" customWidth="1"/>
    <col min="18" max="18" width="10.109375" style="18" bestFit="1" customWidth="1"/>
    <col min="19" max="16384" width="9.109375" style="18"/>
  </cols>
  <sheetData>
    <row r="1" spans="1:23" ht="13.8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23" ht="13.8">
      <c r="A2" s="19"/>
      <c r="B2" s="20" t="s">
        <v>12</v>
      </c>
      <c r="C2" s="141"/>
      <c r="D2" s="21" t="s">
        <v>13</v>
      </c>
      <c r="E2" s="22"/>
      <c r="F2" s="141" t="s">
        <v>14</v>
      </c>
      <c r="G2" s="141"/>
      <c r="H2" s="141"/>
      <c r="I2" s="23"/>
      <c r="J2" s="22"/>
      <c r="K2" s="141"/>
      <c r="L2" s="24" t="s">
        <v>15</v>
      </c>
      <c r="M2" s="141"/>
      <c r="N2" s="19"/>
    </row>
    <row r="3" spans="1:23" ht="13.8">
      <c r="A3" s="19" t="s">
        <v>16</v>
      </c>
      <c r="B3" s="21" t="s">
        <v>17</v>
      </c>
      <c r="C3" s="19" t="s">
        <v>18</v>
      </c>
      <c r="D3" s="21"/>
      <c r="E3" s="25" t="s">
        <v>19</v>
      </c>
      <c r="F3" s="25"/>
      <c r="G3" s="25"/>
      <c r="H3" s="25"/>
      <c r="I3" s="25"/>
      <c r="J3" s="21" t="s">
        <v>20</v>
      </c>
      <c r="K3" s="25" t="s">
        <v>21</v>
      </c>
      <c r="L3" s="25"/>
      <c r="M3" s="25"/>
      <c r="N3" s="25" t="s">
        <v>22</v>
      </c>
    </row>
    <row r="4" spans="1:23" ht="13.8">
      <c r="A4" s="26" t="s">
        <v>23</v>
      </c>
      <c r="B4" s="27"/>
      <c r="C4" s="27"/>
      <c r="D4" s="27"/>
      <c r="E4" s="28" t="s">
        <v>24</v>
      </c>
      <c r="F4" s="28" t="s">
        <v>25</v>
      </c>
      <c r="G4" s="29" t="s">
        <v>26</v>
      </c>
      <c r="H4" s="30" t="s">
        <v>27</v>
      </c>
      <c r="I4" s="29"/>
      <c r="J4" s="29"/>
      <c r="K4" s="29" t="s">
        <v>90</v>
      </c>
      <c r="L4" s="30" t="s">
        <v>28</v>
      </c>
      <c r="M4" s="28" t="s">
        <v>27</v>
      </c>
      <c r="N4" s="29" t="s">
        <v>24</v>
      </c>
      <c r="W4" s="31"/>
    </row>
    <row r="5" spans="1:23" ht="14.4">
      <c r="A5" s="19"/>
      <c r="B5" s="32" t="s">
        <v>29</v>
      </c>
      <c r="C5" s="142"/>
      <c r="D5" s="33" t="s">
        <v>30</v>
      </c>
      <c r="G5" s="32"/>
      <c r="I5" s="32"/>
      <c r="J5" s="32" t="s">
        <v>31</v>
      </c>
      <c r="K5" s="32"/>
      <c r="L5" s="32"/>
      <c r="M5" s="32"/>
      <c r="N5" s="32"/>
      <c r="W5" s="31"/>
    </row>
    <row r="6" spans="1:23" ht="16.5" customHeight="1">
      <c r="A6" s="19" t="s">
        <v>32</v>
      </c>
      <c r="B6" s="34">
        <v>76.099999999999994</v>
      </c>
      <c r="C6" s="34">
        <v>74.938999999999993</v>
      </c>
      <c r="D6" s="34">
        <f>F6/C6</f>
        <v>47.397323156167019</v>
      </c>
      <c r="E6" s="35">
        <v>909</v>
      </c>
      <c r="F6" s="36">
        <v>3551.9079999999999</v>
      </c>
      <c r="G6" s="37">
        <v>15.380623192800002</v>
      </c>
      <c r="H6" s="37">
        <f>SUM(E6:G6)</f>
        <v>4476.2886231927996</v>
      </c>
      <c r="I6" s="36" t="e">
        <f>#REF!</f>
        <v>#REF!</v>
      </c>
      <c r="J6" s="36">
        <v>2164.571916009776</v>
      </c>
      <c r="K6" s="36">
        <f>M6-L6-J6</f>
        <v>107.92510436542307</v>
      </c>
      <c r="L6" s="37">
        <v>1679.2506028176001</v>
      </c>
      <c r="M6" s="37">
        <f>H6-N6</f>
        <v>3951.7476231927994</v>
      </c>
      <c r="N6" s="37">
        <v>524.54100000000017</v>
      </c>
    </row>
    <row r="7" spans="1:23" ht="16.5" customHeight="1">
      <c r="A7" s="19" t="s">
        <v>33</v>
      </c>
      <c r="B7" s="34">
        <v>83.353999999999999</v>
      </c>
      <c r="C7" s="34">
        <v>82.602999999999994</v>
      </c>
      <c r="D7" s="34">
        <f>F7/C7</f>
        <v>51.042964541239421</v>
      </c>
      <c r="E7" s="35">
        <f>N6</f>
        <v>524.54100000000017</v>
      </c>
      <c r="F7" s="36">
        <f>F28</f>
        <v>4216.3019999999997</v>
      </c>
      <c r="G7" s="37">
        <f>G28</f>
        <v>19.838438342399996</v>
      </c>
      <c r="H7" s="37">
        <f>SUM(E7:G7)</f>
        <v>4760.6814383423998</v>
      </c>
      <c r="I7" s="19"/>
      <c r="J7" s="36">
        <f>J28</f>
        <v>2140.6021535309255</v>
      </c>
      <c r="K7" s="36">
        <f t="shared" ref="K7:K8" si="0">M7-L7-J7</f>
        <v>97.651103312274245</v>
      </c>
      <c r="L7" s="37">
        <f>L28</f>
        <v>2265.4491814991998</v>
      </c>
      <c r="M7" s="37">
        <f>H7-N7</f>
        <v>4503.7024383423995</v>
      </c>
      <c r="N7" s="37">
        <f>N27</f>
        <v>256.97899999999998</v>
      </c>
    </row>
    <row r="8" spans="1:23" ht="16.5" customHeight="1">
      <c r="A8" s="19" t="s">
        <v>34</v>
      </c>
      <c r="B8" s="34">
        <v>87.194999999999993</v>
      </c>
      <c r="C8" s="34">
        <v>86.331999999999994</v>
      </c>
      <c r="D8" s="34">
        <f>F8/C8</f>
        <v>51.374137052309692</v>
      </c>
      <c r="E8" s="35">
        <f>N7</f>
        <v>256.97899999999998</v>
      </c>
      <c r="F8" s="36">
        <v>4435.232</v>
      </c>
      <c r="G8" s="37">
        <v>15</v>
      </c>
      <c r="H8" s="37">
        <f>SUM(E8:G8)</f>
        <v>4707.2110000000002</v>
      </c>
      <c r="I8" s="19"/>
      <c r="J8" s="36">
        <v>2190</v>
      </c>
      <c r="K8" s="36">
        <f t="shared" si="0"/>
        <v>117.27100000000064</v>
      </c>
      <c r="L8" s="37">
        <v>2050</v>
      </c>
      <c r="M8" s="37">
        <f>H8-N8</f>
        <v>4357.2710000000006</v>
      </c>
      <c r="N8" s="37">
        <v>349.94</v>
      </c>
    </row>
    <row r="9" spans="1:23" ht="16.5" customHeight="1">
      <c r="A9" s="23"/>
      <c r="B9" s="23"/>
      <c r="C9" s="23"/>
      <c r="D9" s="23"/>
      <c r="E9" s="38"/>
      <c r="F9" s="38"/>
      <c r="G9" s="39"/>
      <c r="H9" s="38"/>
      <c r="I9" s="38"/>
      <c r="J9" s="39"/>
      <c r="K9" s="39"/>
      <c r="L9" s="39"/>
      <c r="M9" s="39"/>
      <c r="N9" s="39"/>
    </row>
    <row r="10" spans="1:23" ht="16.5" customHeight="1">
      <c r="A10" s="23" t="s">
        <v>35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40"/>
    </row>
    <row r="11" spans="1:23" ht="16.5" customHeight="1">
      <c r="A11" s="41" t="s">
        <v>36</v>
      </c>
      <c r="B11" s="145"/>
      <c r="C11" s="145"/>
      <c r="D11" s="145"/>
      <c r="E11" s="43"/>
      <c r="F11" s="44"/>
      <c r="G11" s="7"/>
      <c r="H11" s="14"/>
      <c r="I11" s="145"/>
      <c r="J11" s="14"/>
      <c r="K11" s="45"/>
      <c r="L11" s="7"/>
      <c r="M11" s="7"/>
      <c r="N11" s="14"/>
    </row>
    <row r="12" spans="1:23" ht="16.5" customHeight="1">
      <c r="A12" s="23" t="s">
        <v>37</v>
      </c>
      <c r="B12" s="145"/>
      <c r="C12" s="145"/>
      <c r="D12" s="145"/>
      <c r="E12" s="43"/>
      <c r="F12" s="44"/>
      <c r="G12" s="7">
        <f>(44527.6*36.744)/1000000</f>
        <v>1.6361221343999999</v>
      </c>
      <c r="I12" s="145"/>
      <c r="J12" s="14">
        <f>((5131665*0.907185)*36.744)/1000000</f>
        <v>171.05689738659061</v>
      </c>
      <c r="K12" s="42"/>
      <c r="L12" s="7">
        <f>(7191284.4*36.744)/1000000</f>
        <v>264.23655399360001</v>
      </c>
      <c r="M12" s="7"/>
      <c r="N12" s="14"/>
    </row>
    <row r="13" spans="1:23" ht="16.5" customHeight="1">
      <c r="A13" s="23" t="s">
        <v>38</v>
      </c>
      <c r="B13" s="145"/>
      <c r="C13" s="145"/>
      <c r="D13" s="145"/>
      <c r="E13" s="46"/>
      <c r="F13" s="44"/>
      <c r="G13" s="7">
        <f>(24879.1*36.744)/1000000</f>
        <v>0.91415765039999997</v>
      </c>
      <c r="I13" s="145"/>
      <c r="J13" s="14">
        <f>((5897079*0.907185)*36.744)/1000000</f>
        <v>196.57090581392558</v>
      </c>
      <c r="K13" s="42"/>
      <c r="L13" s="7">
        <f>(11636404.4*36.744)/1000000</f>
        <v>427.56804327359998</v>
      </c>
      <c r="M13" s="7"/>
      <c r="N13" s="14"/>
    </row>
    <row r="14" spans="1:23" ht="16.5" customHeight="1">
      <c r="A14" s="23" t="s">
        <v>39</v>
      </c>
      <c r="B14" s="145"/>
      <c r="C14" s="145"/>
      <c r="D14" s="145"/>
      <c r="E14" s="46"/>
      <c r="F14" s="44"/>
      <c r="G14" s="7">
        <f>(12431.7*36.744)/1000000</f>
        <v>0.4567903848</v>
      </c>
      <c r="I14" s="145"/>
      <c r="J14" s="14">
        <f>((5731207*0.907185)*36.744)/1000000</f>
        <v>191.04179397920748</v>
      </c>
      <c r="K14" s="42"/>
      <c r="L14" s="7">
        <f>(10867331.6*36.744)/1000000</f>
        <v>399.30923231040003</v>
      </c>
      <c r="M14" s="7"/>
      <c r="N14" s="14"/>
    </row>
    <row r="15" spans="1:23" ht="16.5" customHeight="1">
      <c r="A15" s="23" t="s">
        <v>40</v>
      </c>
      <c r="B15" s="145"/>
      <c r="C15" s="145"/>
      <c r="D15" s="145"/>
      <c r="E15" s="43">
        <f>N6</f>
        <v>524.54100000000017</v>
      </c>
      <c r="F15" s="44">
        <v>4216.3019999999997</v>
      </c>
      <c r="G15" s="7">
        <f>G12+G13+G14</f>
        <v>3.0070701696</v>
      </c>
      <c r="H15" s="14">
        <f>E15+F15+G15</f>
        <v>4743.8500701696003</v>
      </c>
      <c r="I15" s="145"/>
      <c r="J15" s="14">
        <f>J12+J13+J14</f>
        <v>558.66959717972361</v>
      </c>
      <c r="K15" s="42">
        <f>M15-L15-J15</f>
        <v>147.32664341227689</v>
      </c>
      <c r="L15" s="7">
        <f>L12+L13+L14</f>
        <v>1091.1138295776</v>
      </c>
      <c r="M15" s="7">
        <f>H15-N15</f>
        <v>1797.1100701696005</v>
      </c>
      <c r="N15" s="14">
        <v>2946.74</v>
      </c>
    </row>
    <row r="16" spans="1:23" ht="16.95" customHeight="1">
      <c r="A16" s="19" t="s">
        <v>41</v>
      </c>
      <c r="B16" s="145"/>
      <c r="C16" s="145"/>
      <c r="D16" s="145"/>
      <c r="E16" s="43"/>
      <c r="F16" s="7"/>
      <c r="G16" s="7">
        <f>(23426.8*36.744)/1000000</f>
        <v>0.86079433919999992</v>
      </c>
      <c r="H16" s="14"/>
      <c r="I16" s="145"/>
      <c r="J16" s="14">
        <f>((5794233*0.907185)*36.744)/1000000</f>
        <v>193.14267780827416</v>
      </c>
      <c r="K16" s="42"/>
      <c r="L16" s="7">
        <f>(10445198.5*36.744)/1000000</f>
        <v>383.79837368400001</v>
      </c>
      <c r="M16" s="7"/>
      <c r="N16" s="14"/>
    </row>
    <row r="17" spans="1:14" ht="16.95" customHeight="1">
      <c r="A17" s="19" t="s">
        <v>42</v>
      </c>
      <c r="B17" s="145"/>
      <c r="C17" s="145"/>
      <c r="D17" s="145"/>
      <c r="E17" s="43"/>
      <c r="F17" s="7"/>
      <c r="G17" s="7">
        <f>(19638*36.744)/1000000</f>
        <v>0.72157867200000003</v>
      </c>
      <c r="H17" s="14"/>
      <c r="I17" s="145"/>
      <c r="J17" s="14">
        <f>((5895360*0.907185)*36.744)/1000000</f>
        <v>196.5136053458304</v>
      </c>
      <c r="K17" s="42"/>
      <c r="L17" s="7">
        <f>(8829299.6*36.744)/1000000</f>
        <v>324.4237845024</v>
      </c>
      <c r="M17" s="7"/>
      <c r="N17" s="14"/>
    </row>
    <row r="18" spans="1:14" ht="16.95" customHeight="1">
      <c r="A18" s="19" t="s">
        <v>43</v>
      </c>
      <c r="B18" s="145"/>
      <c r="C18" s="145"/>
      <c r="D18" s="145"/>
      <c r="E18" s="43"/>
      <c r="F18" s="7"/>
      <c r="G18" s="7">
        <f>(22552.9*36.744)/1000000</f>
        <v>0.82868375760000001</v>
      </c>
      <c r="H18" s="14"/>
      <c r="I18" s="145"/>
      <c r="J18" s="14">
        <f>((4930499*0.907185)*36.744)/1000000</f>
        <v>164.35130927441435</v>
      </c>
      <c r="K18" s="42"/>
      <c r="L18" s="7">
        <f>(4558707.1*36.744)/1000000</f>
        <v>167.50513368239999</v>
      </c>
      <c r="M18" s="7"/>
      <c r="N18" s="14"/>
    </row>
    <row r="19" spans="1:14" ht="16.95" customHeight="1">
      <c r="A19" s="19" t="s">
        <v>44</v>
      </c>
      <c r="B19" s="145"/>
      <c r="C19" s="145"/>
      <c r="D19" s="145"/>
      <c r="E19" s="43">
        <f>N15</f>
        <v>2946.74</v>
      </c>
      <c r="F19" s="7"/>
      <c r="G19" s="7">
        <f>SUM(G16:G18)</f>
        <v>2.4110567688</v>
      </c>
      <c r="H19" s="14">
        <f>E19+F19+G19</f>
        <v>2949.1510567687997</v>
      </c>
      <c r="I19" s="145"/>
      <c r="J19" s="14">
        <f>SUM(J16:J18)</f>
        <v>554.00759242851893</v>
      </c>
      <c r="K19" s="42">
        <f>M19-L19-J19</f>
        <v>-42.267827528519319</v>
      </c>
      <c r="L19" s="7">
        <f>SUM(L16:L18)</f>
        <v>875.72729186880008</v>
      </c>
      <c r="M19" s="7">
        <f>H19-N19</f>
        <v>1387.4670567687997</v>
      </c>
      <c r="N19" s="14">
        <v>1561.684</v>
      </c>
    </row>
    <row r="20" spans="1:14" ht="16.95" customHeight="1">
      <c r="A20" s="19" t="s">
        <v>45</v>
      </c>
      <c r="B20" s="145"/>
      <c r="C20" s="145"/>
      <c r="D20" s="145"/>
      <c r="E20" s="43"/>
      <c r="F20" s="7"/>
      <c r="G20" s="7">
        <f>(26142.7*36.744)/1000000</f>
        <v>0.96058736880000006</v>
      </c>
      <c r="H20" s="14"/>
      <c r="I20" s="145"/>
      <c r="J20" s="14">
        <f>((5646728*0.907185)*36.744)/1000000</f>
        <v>188.22580430834591</v>
      </c>
      <c r="K20" s="42"/>
      <c r="L20" s="7">
        <f>(2295121.8*36.744)/1000000</f>
        <v>84.331955419199986</v>
      </c>
      <c r="M20" s="7"/>
      <c r="N20" s="47"/>
    </row>
    <row r="21" spans="1:14" ht="16.95" customHeight="1">
      <c r="A21" s="19" t="s">
        <v>46</v>
      </c>
      <c r="B21" s="145"/>
      <c r="C21" s="145"/>
      <c r="D21" s="145"/>
      <c r="E21" s="43"/>
      <c r="F21" s="7"/>
      <c r="G21" s="7">
        <f>(34734.1*36.744)/1000000</f>
        <v>1.2762697704000001</v>
      </c>
      <c r="H21" s="14"/>
      <c r="I21" s="145"/>
      <c r="J21" s="14">
        <f>((5095631*0.907185)*36.744)/1000000</f>
        <v>169.85575424095885</v>
      </c>
      <c r="K21" s="42"/>
      <c r="L21" s="7">
        <f>(1384924.4*36.744)/1000000</f>
        <v>50.887662153599997</v>
      </c>
      <c r="M21" s="7"/>
      <c r="N21" s="47"/>
    </row>
    <row r="22" spans="1:14" ht="16.95" customHeight="1">
      <c r="A22" s="19" t="s">
        <v>47</v>
      </c>
      <c r="B22" s="145"/>
      <c r="C22" s="145"/>
      <c r="D22" s="145"/>
      <c r="E22" s="43"/>
      <c r="F22" s="7"/>
      <c r="G22" s="7">
        <f>(51046.1*36.744)/1000000</f>
        <v>1.8756378983999997</v>
      </c>
      <c r="H22" s="14"/>
      <c r="I22" s="145"/>
      <c r="J22" s="14">
        <f>((5205032*0.907185)*36.744)/1000000</f>
        <v>173.50248403158051</v>
      </c>
      <c r="K22" s="42"/>
      <c r="L22" s="7">
        <f>(1266685.1*36.744)/1000000</f>
        <v>46.543077314400001</v>
      </c>
      <c r="M22" s="7"/>
      <c r="N22" s="47"/>
    </row>
    <row r="23" spans="1:14" ht="16.95" customHeight="1">
      <c r="A23" s="19" t="s">
        <v>48</v>
      </c>
      <c r="B23" s="145"/>
      <c r="C23" s="145"/>
      <c r="D23" s="145"/>
      <c r="E23" s="43">
        <f>N19</f>
        <v>1561.684</v>
      </c>
      <c r="F23" s="7"/>
      <c r="G23" s="7">
        <f>SUM(G20:G22)</f>
        <v>4.1124950375999996</v>
      </c>
      <c r="H23" s="14">
        <f>E23+F23+G23</f>
        <v>1565.7964950375999</v>
      </c>
      <c r="I23" s="145"/>
      <c r="J23" s="15">
        <f>SUM(J20:J22)</f>
        <v>531.58404258088524</v>
      </c>
      <c r="K23" s="42">
        <f>M23-L23-J23</f>
        <v>83.409757569514682</v>
      </c>
      <c r="L23" s="7">
        <f>SUM(L20:L22)</f>
        <v>181.76269488719998</v>
      </c>
      <c r="M23" s="7">
        <f>H23-N23</f>
        <v>796.75649503759996</v>
      </c>
      <c r="N23" s="14">
        <v>769.04</v>
      </c>
    </row>
    <row r="24" spans="1:14" ht="16.95" customHeight="1">
      <c r="A24" s="19" t="s">
        <v>49</v>
      </c>
      <c r="B24" s="145"/>
      <c r="C24" s="145"/>
      <c r="D24" s="145"/>
      <c r="E24" s="43"/>
      <c r="F24" s="7"/>
      <c r="G24" s="7">
        <f>(205436.7*36.744)/1000000</f>
        <v>7.5485661048000008</v>
      </c>
      <c r="H24" s="14"/>
      <c r="I24" s="145"/>
      <c r="J24" s="15">
        <f>((4852334*0.907185)*36.744)/1000000</f>
        <v>161.74578798956375</v>
      </c>
      <c r="K24" s="42"/>
      <c r="L24" s="7">
        <f>(925497.6*36.744)/1000000</f>
        <v>34.006483814399999</v>
      </c>
      <c r="M24" s="7"/>
      <c r="N24" s="14"/>
    </row>
    <row r="25" spans="1:14" ht="16.95" customHeight="1">
      <c r="A25" s="19" t="s">
        <v>50</v>
      </c>
      <c r="B25" s="145"/>
      <c r="C25" s="145"/>
      <c r="D25" s="145"/>
      <c r="E25" s="43"/>
      <c r="F25" s="7"/>
      <c r="G25" s="7">
        <f>(59776.6*36.744)/1000000</f>
        <v>2.1964313903999999</v>
      </c>
      <c r="H25" s="14"/>
      <c r="I25" s="145"/>
      <c r="J25" s="15">
        <f>((4989996*0.907185)*36.744)/1000000</f>
        <v>166.33455880917742</v>
      </c>
      <c r="K25" s="42"/>
      <c r="L25" s="7">
        <f>(945804.5*36.744)/1000000</f>
        <v>34.752640548000002</v>
      </c>
      <c r="M25" s="7"/>
      <c r="N25" s="14"/>
    </row>
    <row r="26" spans="1:14" ht="16.95" customHeight="1">
      <c r="A26" s="19" t="s">
        <v>51</v>
      </c>
      <c r="B26" s="145"/>
      <c r="C26" s="145"/>
      <c r="D26" s="145"/>
      <c r="E26" s="43"/>
      <c r="F26" s="7"/>
      <c r="G26" s="7">
        <f>(15317.3*36.744)/1000000</f>
        <v>0.56281887119999996</v>
      </c>
      <c r="H26" s="14"/>
      <c r="I26" s="145"/>
      <c r="J26" s="15">
        <f>((5047776*0.907185)*36.744)/1000000</f>
        <v>168.26057454305666</v>
      </c>
      <c r="K26" s="42"/>
      <c r="L26" s="7">
        <f>(1308682.8*36.744)/1000000</f>
        <v>48.086240803199999</v>
      </c>
      <c r="M26" s="7"/>
      <c r="N26" s="14"/>
    </row>
    <row r="27" spans="1:14" ht="16.95" customHeight="1">
      <c r="A27" s="19" t="s">
        <v>52</v>
      </c>
      <c r="B27" s="145"/>
      <c r="C27" s="145"/>
      <c r="D27" s="145"/>
      <c r="E27" s="43">
        <f>N23</f>
        <v>769.04</v>
      </c>
      <c r="F27" s="7"/>
      <c r="G27" s="7">
        <f>SUM(G24:G26)</f>
        <v>10.307816366399999</v>
      </c>
      <c r="H27" s="14">
        <f>E27+F27+G27</f>
        <v>779.34781636639991</v>
      </c>
      <c r="I27" s="145"/>
      <c r="J27" s="15">
        <f>SUM(J24:J26)</f>
        <v>496.34092134179787</v>
      </c>
      <c r="K27" s="45">
        <f>M27-L27-J27</f>
        <v>-90.817470140998012</v>
      </c>
      <c r="L27" s="7">
        <f>SUM(L24:L26)</f>
        <v>116.8453651656</v>
      </c>
      <c r="M27" s="7">
        <f>H27-N27</f>
        <v>522.36881636639987</v>
      </c>
      <c r="N27" s="14">
        <v>256.97899999999998</v>
      </c>
    </row>
    <row r="28" spans="1:14" s="59" customFormat="1" ht="16.5" customHeight="1">
      <c r="A28" s="23" t="s">
        <v>27</v>
      </c>
      <c r="B28" s="145"/>
      <c r="C28" s="145"/>
      <c r="D28" s="145"/>
      <c r="E28" s="43"/>
      <c r="F28" s="44">
        <f>F15</f>
        <v>4216.3019999999997</v>
      </c>
      <c r="G28" s="7">
        <f>G15+G19+G23+G27</f>
        <v>19.838438342399996</v>
      </c>
      <c r="H28" s="14">
        <f>E15+F28+G28</f>
        <v>4760.6814383423998</v>
      </c>
      <c r="I28" s="145"/>
      <c r="J28" s="14">
        <f>J15+J19+J23+J27</f>
        <v>2140.6021535309255</v>
      </c>
      <c r="K28" s="42">
        <f>SUM(K15,K19,K23,K27)</f>
        <v>97.651103312274245</v>
      </c>
      <c r="L28" s="7">
        <f>L15+L19+L23+L27</f>
        <v>2265.4491814991998</v>
      </c>
      <c r="M28" s="7">
        <f>M15+M19+M23+M27</f>
        <v>4503.7024383424005</v>
      </c>
      <c r="N28" s="14"/>
    </row>
    <row r="29" spans="1:14" ht="16.5" customHeight="1">
      <c r="A29" s="23"/>
      <c r="B29" s="145"/>
      <c r="C29" s="145"/>
      <c r="D29" s="145"/>
      <c r="E29" s="43"/>
      <c r="F29" s="44"/>
      <c r="G29" s="7"/>
      <c r="H29" s="14"/>
      <c r="I29" s="145"/>
      <c r="J29" s="14"/>
      <c r="K29" s="42"/>
      <c r="L29" s="7"/>
      <c r="M29" s="7"/>
      <c r="N29" s="14"/>
    </row>
    <row r="30" spans="1:14" ht="16.5" customHeight="1">
      <c r="A30" s="55" t="s">
        <v>53</v>
      </c>
      <c r="B30" s="145"/>
      <c r="C30" s="145"/>
      <c r="D30" s="145"/>
      <c r="E30" s="43"/>
      <c r="F30" s="44"/>
      <c r="G30" s="7"/>
      <c r="H30" s="14"/>
      <c r="I30" s="145"/>
      <c r="J30" s="14"/>
      <c r="K30" s="42"/>
      <c r="L30" s="7"/>
      <c r="M30" s="7"/>
      <c r="N30" s="14"/>
    </row>
    <row r="31" spans="1:14" ht="16.5" customHeight="1">
      <c r="A31" s="23" t="s">
        <v>37</v>
      </c>
      <c r="B31" s="145"/>
      <c r="C31" s="145"/>
      <c r="D31" s="145"/>
      <c r="E31" s="43"/>
      <c r="F31" s="44"/>
      <c r="G31" s="7">
        <f>(24320.3*36.744)/1000000</f>
        <v>0.89362510319999999</v>
      </c>
      <c r="I31" s="145"/>
      <c r="J31" s="14">
        <f>((4924574*0.907185)*36.744)/1000000</f>
        <v>164.15380766099736</v>
      </c>
      <c r="K31" s="42"/>
      <c r="L31" s="7">
        <f>(2167640.8*36.744)/1000000</f>
        <v>79.647793555199996</v>
      </c>
      <c r="M31" s="7"/>
      <c r="N31" s="14"/>
    </row>
    <row r="32" spans="1:14" ht="16.5" customHeight="1">
      <c r="A32" s="23" t="s">
        <v>38</v>
      </c>
      <c r="B32" s="145"/>
      <c r="C32" s="145"/>
      <c r="D32" s="145"/>
      <c r="E32" s="43"/>
      <c r="F32" s="44"/>
      <c r="G32" s="7">
        <f>(19235.5*36.744)/1000000</f>
        <v>0.70678921199999989</v>
      </c>
      <c r="I32" s="145"/>
      <c r="J32" s="14">
        <f>((5908157*0.907185)*36.744)/1000000</f>
        <v>196.9401754972055</v>
      </c>
      <c r="K32" s="42"/>
      <c r="L32" s="7">
        <f>(10506970*36.744)/1000000</f>
        <v>386.06810568000003</v>
      </c>
      <c r="M32" s="7"/>
      <c r="N32" s="14"/>
    </row>
    <row r="33" spans="1:73" ht="16.5" customHeight="1">
      <c r="A33" s="23" t="s">
        <v>39</v>
      </c>
      <c r="B33" s="145"/>
      <c r="C33" s="145"/>
      <c r="D33" s="145"/>
      <c r="E33" s="43"/>
      <c r="F33" s="44"/>
      <c r="G33" s="7">
        <f>(34891.5*36.744)/1000000</f>
        <v>1.2820532760000001</v>
      </c>
      <c r="I33" s="145"/>
      <c r="J33" s="14">
        <f>((5714855*0.907185)*36.744)/1000000</f>
        <v>190.49672285978221</v>
      </c>
      <c r="K33" s="42"/>
      <c r="L33" s="7">
        <f>(10635733.5*36.744)/1000000</f>
        <v>390.79939172399997</v>
      </c>
      <c r="M33" s="7"/>
      <c r="N33" s="14"/>
    </row>
    <row r="34" spans="1:73" ht="16.5" customHeight="1">
      <c r="A34" s="23" t="s">
        <v>54</v>
      </c>
      <c r="B34" s="145"/>
      <c r="C34" s="145"/>
      <c r="D34" s="145"/>
      <c r="E34" s="43">
        <f>N27</f>
        <v>256.97899999999998</v>
      </c>
      <c r="F34" s="43">
        <v>4435.232</v>
      </c>
      <c r="G34" s="7">
        <f>SUM(G31:G33)</f>
        <v>2.8824675912000002</v>
      </c>
      <c r="H34" s="14">
        <f>SUM(E34:G34)</f>
        <v>4695.0934675912004</v>
      </c>
      <c r="I34" s="145"/>
      <c r="J34" s="14">
        <f>SUM(J31:J33)</f>
        <v>551.59070601798499</v>
      </c>
      <c r="K34" s="42">
        <f>M34-L34-J34</f>
        <v>137.70447061401546</v>
      </c>
      <c r="L34" s="7">
        <f>SUM(L31:L33)</f>
        <v>856.5152909592</v>
      </c>
      <c r="M34" s="7">
        <f>H34-N34</f>
        <v>1545.8104675912004</v>
      </c>
      <c r="N34" s="14">
        <v>3149.2829999999999</v>
      </c>
    </row>
    <row r="35" spans="1:73" ht="16.5" customHeight="1">
      <c r="A35" s="131" t="s">
        <v>168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32"/>
      <c r="M35" s="100"/>
      <c r="N35" s="100"/>
    </row>
    <row r="36" spans="1:73" ht="16.5" customHeight="1">
      <c r="A36" s="19" t="s">
        <v>55</v>
      </c>
      <c r="B36" s="19"/>
      <c r="C36" s="19"/>
      <c r="D36" s="19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73" ht="16.5" customHeight="1">
      <c r="A37" s="25" t="s">
        <v>56</v>
      </c>
      <c r="B37" s="50">
        <f ca="1">NOW()</f>
        <v>44574.626822685183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46"/>
      <c r="P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</row>
    <row r="38" spans="1:73">
      <c r="O38" s="146"/>
      <c r="P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</row>
    <row r="39" spans="1:73">
      <c r="O39" s="146"/>
      <c r="P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</row>
    <row r="40" spans="1:73">
      <c r="O40" s="146"/>
      <c r="P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</row>
    <row r="41" spans="1:73">
      <c r="F41" s="51"/>
      <c r="O41" s="146"/>
      <c r="P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</row>
    <row r="42" spans="1:73">
      <c r="O42" s="146"/>
      <c r="P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</row>
    <row r="43" spans="1:73">
      <c r="O43" s="146"/>
      <c r="P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</row>
    <row r="44" spans="1:73">
      <c r="O44" s="146"/>
      <c r="P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</row>
    <row r="45" spans="1:73">
      <c r="O45" s="146"/>
      <c r="P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</row>
    <row r="46" spans="1:73">
      <c r="O46" s="146"/>
      <c r="P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</row>
    <row r="47" spans="1:73">
      <c r="O47" s="146"/>
      <c r="P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</row>
    <row r="48" spans="1:73">
      <c r="O48" s="146"/>
      <c r="P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</row>
    <row r="49" spans="15:73">
      <c r="O49" s="146"/>
      <c r="P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</row>
    <row r="50" spans="15:73">
      <c r="O50" s="146"/>
      <c r="P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</row>
    <row r="51" spans="15:73">
      <c r="O51" s="146"/>
      <c r="P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</row>
    <row r="52" spans="15:73">
      <c r="O52" s="146"/>
      <c r="P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</row>
    <row r="53" spans="15:73">
      <c r="O53" s="146"/>
      <c r="P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</row>
    <row r="54" spans="15:73">
      <c r="O54" s="146"/>
      <c r="P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</row>
    <row r="55" spans="15:73">
      <c r="O55" s="146"/>
      <c r="P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</row>
    <row r="56" spans="15:73">
      <c r="O56" s="146"/>
      <c r="P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</row>
    <row r="57" spans="15:73">
      <c r="O57" s="146"/>
      <c r="P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</row>
    <row r="58" spans="15:73">
      <c r="O58" s="146"/>
      <c r="P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</row>
    <row r="59" spans="15:73">
      <c r="O59" s="146"/>
      <c r="P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</row>
    <row r="60" spans="15:73">
      <c r="O60" s="146"/>
      <c r="P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</row>
    <row r="61" spans="15:73">
      <c r="O61" s="146"/>
      <c r="P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</row>
    <row r="62" spans="15:73">
      <c r="O62" s="146"/>
      <c r="P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</row>
    <row r="63" spans="15:73">
      <c r="O63" s="146"/>
      <c r="P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  <c r="BI63" s="146"/>
      <c r="BJ63" s="146"/>
      <c r="BK63" s="146"/>
      <c r="BL63" s="146"/>
      <c r="BM63" s="146"/>
      <c r="BN63" s="146"/>
      <c r="BO63" s="146"/>
      <c r="BP63" s="146"/>
      <c r="BQ63" s="146"/>
      <c r="BR63" s="146"/>
      <c r="BS63" s="146"/>
      <c r="BT63" s="146"/>
      <c r="BU63" s="146"/>
    </row>
    <row r="64" spans="15:73">
      <c r="O64" s="146"/>
      <c r="P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  <c r="BI64" s="146"/>
      <c r="BJ64" s="146"/>
      <c r="BK64" s="146"/>
      <c r="BL64" s="146"/>
      <c r="BM64" s="146"/>
      <c r="BN64" s="146"/>
      <c r="BO64" s="146"/>
      <c r="BP64" s="146"/>
      <c r="BQ64" s="146"/>
      <c r="BR64" s="146"/>
      <c r="BS64" s="146"/>
      <c r="BT64" s="146"/>
      <c r="BU64" s="146"/>
    </row>
    <row r="65" spans="15:73"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</row>
    <row r="66" spans="15:73"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46"/>
      <c r="BF66" s="146"/>
      <c r="BG66" s="146"/>
      <c r="BH66" s="146"/>
      <c r="BI66" s="146"/>
      <c r="BJ66" s="146"/>
      <c r="BK66" s="146"/>
      <c r="BL66" s="146"/>
      <c r="BM66" s="146"/>
      <c r="BN66" s="146"/>
      <c r="BO66" s="146"/>
      <c r="BP66" s="146"/>
      <c r="BQ66" s="146"/>
      <c r="BR66" s="146"/>
      <c r="BS66" s="146"/>
      <c r="BT66" s="146"/>
      <c r="BU66" s="146"/>
    </row>
    <row r="67" spans="15:73"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  <c r="BI67" s="146"/>
      <c r="BJ67" s="146"/>
      <c r="BK67" s="146"/>
      <c r="BL67" s="146"/>
      <c r="BM67" s="146"/>
      <c r="BN67" s="146"/>
      <c r="BO67" s="146"/>
      <c r="BP67" s="146"/>
      <c r="BQ67" s="146"/>
      <c r="BR67" s="146"/>
      <c r="BS67" s="146"/>
      <c r="BT67" s="146"/>
      <c r="BU67" s="146"/>
    </row>
    <row r="68" spans="15:73"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  <c r="BI68" s="146"/>
      <c r="BJ68" s="146"/>
      <c r="BK68" s="146"/>
      <c r="BL68" s="146"/>
      <c r="BM68" s="146"/>
      <c r="BN68" s="146"/>
      <c r="BO68" s="146"/>
      <c r="BP68" s="146"/>
      <c r="BQ68" s="146"/>
      <c r="BR68" s="146"/>
      <c r="BS68" s="146"/>
      <c r="BT68" s="146"/>
      <c r="BU68" s="146"/>
    </row>
    <row r="69" spans="15:73"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  <c r="BI69" s="146"/>
      <c r="BJ69" s="146"/>
      <c r="BK69" s="146"/>
      <c r="BL69" s="146"/>
      <c r="BM69" s="146"/>
      <c r="BN69" s="146"/>
      <c r="BO69" s="146"/>
      <c r="BP69" s="146"/>
      <c r="BQ69" s="146"/>
      <c r="BR69" s="146"/>
      <c r="BS69" s="146"/>
      <c r="BT69" s="146"/>
      <c r="BU69" s="146"/>
    </row>
    <row r="70" spans="15:73"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</row>
    <row r="71" spans="15:73"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</row>
    <row r="72" spans="15:73"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</row>
    <row r="73" spans="15:73"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</row>
    <row r="74" spans="15:73"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</row>
    <row r="75" spans="15:73"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</row>
    <row r="76" spans="15:73"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</row>
    <row r="77" spans="15:73"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</row>
    <row r="78" spans="15:73"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</row>
    <row r="79" spans="15:73"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</row>
    <row r="80" spans="15:73"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  <c r="BU80" s="146"/>
    </row>
    <row r="81" spans="15:73"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  <c r="BU81" s="146"/>
    </row>
    <row r="82" spans="15:73"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  <c r="BU82" s="146"/>
    </row>
    <row r="83" spans="15:73"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</row>
    <row r="84" spans="15:73"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46"/>
    </row>
    <row r="85" spans="15:73"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</row>
    <row r="86" spans="15:73"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</row>
    <row r="87" spans="15:73"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</row>
    <row r="88" spans="15:73"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</row>
    <row r="89" spans="15:73"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</row>
    <row r="90" spans="15:73"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</row>
    <row r="91" spans="15:73"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</row>
    <row r="92" spans="15:73"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6"/>
      <c r="BR92" s="146"/>
      <c r="BS92" s="146"/>
      <c r="BT92" s="146"/>
      <c r="BU92" s="146"/>
    </row>
    <row r="93" spans="15:73">
      <c r="O93" s="146"/>
      <c r="P93" s="146"/>
      <c r="Q93" s="146"/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</row>
    <row r="94" spans="15:73"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</row>
    <row r="95" spans="15:73"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</row>
    <row r="96" spans="15:73"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</row>
    <row r="97" spans="15:73"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  <c r="BU97" s="146"/>
    </row>
    <row r="98" spans="15:73"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  <c r="BU98" s="146"/>
    </row>
    <row r="99" spans="15:73"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</row>
    <row r="100" spans="15:73"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  <c r="BU100" s="146"/>
    </row>
    <row r="101" spans="15:73"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  <c r="BU101" s="146"/>
    </row>
    <row r="102" spans="15:73"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  <c r="BU102" s="146"/>
    </row>
    <row r="103" spans="15:73"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</row>
    <row r="104" spans="15:73"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  <c r="BU104" s="146"/>
    </row>
    <row r="105" spans="15:73"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</row>
    <row r="106" spans="15:73"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</row>
    <row r="107" spans="15:73"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</row>
    <row r="108" spans="15:73"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  <c r="BU108" s="146"/>
    </row>
    <row r="109" spans="15:73"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  <c r="BU109" s="146"/>
    </row>
    <row r="110" spans="15:73"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  <c r="BU110" s="146"/>
    </row>
    <row r="111" spans="15:73"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  <c r="BU111" s="146"/>
    </row>
    <row r="112" spans="15:73"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  <c r="BU112" s="146"/>
    </row>
    <row r="113" spans="15:73"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  <c r="BU113" s="146"/>
    </row>
    <row r="114" spans="15:73"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  <c r="BU114" s="146"/>
    </row>
    <row r="115" spans="15:73"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  <c r="BU115" s="146"/>
    </row>
    <row r="116" spans="15:73"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  <c r="BU116" s="146"/>
    </row>
    <row r="117" spans="15:73"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</row>
    <row r="118" spans="15:73"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  <c r="BU118" s="146"/>
    </row>
    <row r="119" spans="15:73"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  <c r="BU119" s="146"/>
    </row>
    <row r="120" spans="15:73"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  <c r="BU120" s="146"/>
    </row>
    <row r="121" spans="15:73"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  <c r="BU121" s="146"/>
    </row>
    <row r="122" spans="15:73"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  <c r="BU122" s="146"/>
    </row>
    <row r="123" spans="15:73"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  <c r="BU123" s="146"/>
    </row>
    <row r="124" spans="15:73"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  <c r="BU124" s="146"/>
    </row>
    <row r="125" spans="15:73"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  <c r="BU125" s="146"/>
    </row>
    <row r="126" spans="15:73"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  <c r="BU126" s="146"/>
    </row>
    <row r="127" spans="15:73"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  <c r="BU127" s="146"/>
    </row>
    <row r="128" spans="15:73"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146"/>
      <c r="BT128" s="146"/>
      <c r="BU128" s="146"/>
    </row>
    <row r="129" spans="15:73"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  <c r="BU129" s="146"/>
    </row>
    <row r="130" spans="15:73"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  <c r="BU130" s="146"/>
    </row>
    <row r="131" spans="15:73"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  <c r="BU131" s="146"/>
    </row>
    <row r="132" spans="15:73"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  <c r="BU132" s="146"/>
    </row>
    <row r="133" spans="15:73"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  <c r="BU133" s="146"/>
    </row>
    <row r="134" spans="15:73"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  <c r="BU134" s="146"/>
    </row>
    <row r="135" spans="15:73"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  <c r="BU135" s="146"/>
    </row>
    <row r="136" spans="15:73"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  <c r="BU136" s="146"/>
    </row>
    <row r="137" spans="15:73"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  <c r="BU137" s="146"/>
    </row>
    <row r="138" spans="15:73"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  <c r="BU138" s="146"/>
    </row>
    <row r="139" spans="15:73"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  <c r="BU139" s="146"/>
    </row>
    <row r="140" spans="15:73"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  <c r="BU140" s="146"/>
    </row>
    <row r="141" spans="15:73"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  <c r="BU141" s="146"/>
    </row>
    <row r="142" spans="15:73"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  <c r="BU142" s="146"/>
    </row>
    <row r="143" spans="15:73"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  <c r="BU143" s="146"/>
    </row>
    <row r="144" spans="15:73"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  <c r="BU144" s="146"/>
    </row>
    <row r="145" spans="15:73"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  <c r="BU145" s="146"/>
    </row>
    <row r="146" spans="15:73"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  <c r="BU146" s="146"/>
    </row>
    <row r="147" spans="15:73"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  <c r="BU147" s="146"/>
    </row>
    <row r="148" spans="15:73"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  <c r="BU148" s="146"/>
    </row>
    <row r="149" spans="15:73"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  <c r="BU149" s="146"/>
    </row>
    <row r="150" spans="15:73"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  <c r="BU150" s="146"/>
    </row>
    <row r="151" spans="15:73"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  <c r="BU151" s="146"/>
    </row>
    <row r="152" spans="15:73"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  <c r="BU152" s="146"/>
    </row>
    <row r="153" spans="15:73"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  <c r="BU153" s="146"/>
    </row>
    <row r="154" spans="15:73"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</row>
    <row r="155" spans="15:73"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  <c r="BU155" s="146"/>
    </row>
    <row r="156" spans="15:73"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  <c r="BU156" s="146"/>
    </row>
    <row r="157" spans="15:73"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  <c r="BU157" s="146"/>
    </row>
    <row r="158" spans="15:73"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  <c r="BU158" s="146"/>
    </row>
    <row r="159" spans="15:73"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  <c r="BU159" s="146"/>
    </row>
    <row r="160" spans="15:73"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  <c r="BU160" s="146"/>
    </row>
    <row r="161" spans="15:73"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  <c r="BU161" s="146"/>
    </row>
    <row r="162" spans="15:73"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  <c r="BU162" s="146"/>
    </row>
    <row r="163" spans="15:73"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  <c r="BU163" s="146"/>
    </row>
    <row r="164" spans="15:73"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  <c r="BU164" s="146"/>
    </row>
    <row r="165" spans="15:73"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  <c r="BU165" s="146"/>
    </row>
    <row r="166" spans="15:73"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  <c r="BU166" s="146"/>
    </row>
    <row r="167" spans="15:73"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  <c r="BU167" s="146"/>
    </row>
    <row r="168" spans="15:73"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  <c r="BU168" s="146"/>
    </row>
    <row r="169" spans="15:73"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  <c r="BU169" s="146"/>
    </row>
    <row r="170" spans="15:73"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  <c r="BU170" s="146"/>
    </row>
    <row r="171" spans="15:73"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  <c r="BU171" s="146"/>
    </row>
    <row r="172" spans="15:73"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  <c r="BU172" s="146"/>
    </row>
    <row r="173" spans="15:73"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  <c r="BU173" s="146"/>
    </row>
    <row r="174" spans="15:73"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  <c r="BU174" s="146"/>
    </row>
    <row r="175" spans="15:73"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  <c r="BU175" s="146"/>
    </row>
    <row r="176" spans="15:73"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  <c r="BU176" s="146"/>
    </row>
    <row r="177" spans="15:73"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  <c r="BU177" s="146"/>
    </row>
    <row r="178" spans="15:73"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  <c r="BU178" s="146"/>
    </row>
    <row r="179" spans="15:73"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  <c r="BU179" s="146"/>
    </row>
    <row r="180" spans="15:73"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  <c r="BU180" s="146"/>
    </row>
    <row r="181" spans="15:73"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  <c r="BU181" s="146"/>
    </row>
    <row r="182" spans="15:73"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  <c r="BU182" s="146"/>
    </row>
    <row r="183" spans="15:73"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  <c r="BU183" s="146"/>
    </row>
    <row r="184" spans="15:73"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  <c r="BU184" s="146"/>
    </row>
    <row r="185" spans="15:73"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  <c r="BU185" s="146"/>
    </row>
    <row r="186" spans="15:73"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  <c r="BU186" s="146"/>
    </row>
    <row r="187" spans="15:73"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  <c r="BU187" s="146"/>
    </row>
    <row r="188" spans="15:73"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  <c r="BU188" s="146"/>
    </row>
    <row r="189" spans="15:73"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  <c r="BU189" s="146"/>
    </row>
    <row r="190" spans="15:73"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  <c r="BU190" s="146"/>
    </row>
    <row r="191" spans="15:73"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  <c r="BU191" s="146"/>
    </row>
    <row r="192" spans="15:73"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  <c r="BU192" s="146"/>
    </row>
    <row r="193" spans="15:73"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  <c r="BU193" s="146"/>
    </row>
    <row r="194" spans="15:73"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  <c r="BU194" s="146"/>
    </row>
    <row r="195" spans="15:73"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  <c r="BU195" s="146"/>
    </row>
    <row r="196" spans="15:73"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  <c r="BU196" s="146"/>
    </row>
    <row r="197" spans="15:73"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  <c r="BU197" s="146"/>
    </row>
    <row r="198" spans="15:73"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  <c r="BU198" s="146"/>
    </row>
    <row r="199" spans="15:73"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  <c r="BU199" s="146"/>
    </row>
    <row r="200" spans="15:73"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  <c r="BU200" s="146"/>
    </row>
    <row r="201" spans="15:73"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  <c r="BU201" s="146"/>
    </row>
    <row r="202" spans="15:73"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  <c r="BU202" s="146"/>
    </row>
    <row r="203" spans="15:73"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  <c r="BU203" s="146"/>
    </row>
    <row r="204" spans="15:73"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  <c r="BU204" s="146"/>
    </row>
    <row r="205" spans="15:73"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  <c r="BU205" s="146"/>
    </row>
    <row r="206" spans="15:73"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  <c r="BU206" s="146"/>
    </row>
    <row r="207" spans="15:73"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  <c r="BU207" s="146"/>
    </row>
    <row r="208" spans="15:73"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  <c r="BU208" s="146"/>
    </row>
    <row r="209" spans="15:73"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  <c r="BU209" s="146"/>
    </row>
    <row r="210" spans="15:73"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  <c r="BU210" s="146"/>
    </row>
    <row r="211" spans="15:73"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  <c r="BU211" s="146"/>
    </row>
    <row r="212" spans="15:73"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  <c r="BU212" s="146"/>
    </row>
    <row r="213" spans="15:73"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  <c r="BU213" s="146"/>
    </row>
    <row r="214" spans="15:73"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  <c r="BU214" s="146"/>
    </row>
    <row r="215" spans="15:73"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  <c r="BU215" s="146"/>
    </row>
    <row r="216" spans="15:73"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  <c r="BU216" s="146"/>
    </row>
    <row r="217" spans="15:73"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6"/>
      <c r="BN217" s="146"/>
      <c r="BO217" s="146"/>
      <c r="BP217" s="146"/>
      <c r="BQ217" s="146"/>
      <c r="BR217" s="146"/>
      <c r="BS217" s="146"/>
      <c r="BT217" s="146"/>
      <c r="BU217" s="146"/>
    </row>
    <row r="218" spans="15:73"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  <c r="BU218" s="146"/>
    </row>
    <row r="219" spans="15:73"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  <c r="BU219" s="146"/>
    </row>
    <row r="220" spans="15:73"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  <c r="BU220" s="146"/>
    </row>
    <row r="221" spans="15:73"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  <c r="BU221" s="146"/>
    </row>
    <row r="222" spans="15:73"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  <c r="BU222" s="146"/>
    </row>
    <row r="223" spans="15:73"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  <c r="BU223" s="146"/>
    </row>
    <row r="224" spans="15:73"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  <c r="BU224" s="146"/>
    </row>
    <row r="225" spans="15:73"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  <c r="BU225" s="146"/>
    </row>
    <row r="226" spans="15:73"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  <c r="BU226" s="146"/>
    </row>
    <row r="227" spans="15:73"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  <c r="BU227" s="146"/>
    </row>
    <row r="228" spans="15:73"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  <c r="BU228" s="146"/>
    </row>
    <row r="229" spans="15:73"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  <c r="BU229" s="146"/>
    </row>
    <row r="230" spans="15:73"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  <c r="BU230" s="146"/>
    </row>
    <row r="231" spans="15:73"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  <c r="BU231" s="146"/>
    </row>
    <row r="232" spans="15:73"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  <c r="BU232" s="146"/>
    </row>
    <row r="233" spans="15:73"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  <c r="BU233" s="146"/>
    </row>
    <row r="234" spans="15:73"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  <c r="BU234" s="146"/>
    </row>
    <row r="235" spans="15:73"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  <c r="BS235" s="146"/>
      <c r="BT235" s="146"/>
      <c r="BU235" s="146"/>
    </row>
    <row r="236" spans="15:73"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  <c r="BU236" s="146"/>
    </row>
    <row r="237" spans="15:73"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  <c r="BU237" s="146"/>
    </row>
    <row r="238" spans="15:73"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  <c r="BU238" s="146"/>
    </row>
    <row r="239" spans="15:73"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  <c r="BU239" s="146"/>
    </row>
    <row r="240" spans="15:73"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  <c r="BU240" s="146"/>
    </row>
    <row r="241" spans="15:73"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  <c r="BU241" s="146"/>
    </row>
    <row r="242" spans="15:73"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  <c r="BU242" s="146"/>
    </row>
    <row r="243" spans="15:73"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  <c r="BU243" s="146"/>
    </row>
    <row r="244" spans="15:73"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  <c r="BU244" s="146"/>
    </row>
    <row r="245" spans="15:73"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  <c r="BU245" s="146"/>
    </row>
    <row r="246" spans="15:73"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  <c r="BU246" s="146"/>
    </row>
    <row r="247" spans="15:73"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  <c r="BO247" s="146"/>
      <c r="BP247" s="146"/>
      <c r="BQ247" s="146"/>
      <c r="BR247" s="146"/>
      <c r="BS247" s="146"/>
      <c r="BT247" s="146"/>
      <c r="BU247" s="146"/>
    </row>
    <row r="248" spans="15:73"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  <c r="BU248" s="146"/>
    </row>
    <row r="249" spans="15:73"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  <c r="BN249" s="146"/>
      <c r="BO249" s="146"/>
      <c r="BP249" s="146"/>
      <c r="BQ249" s="146"/>
      <c r="BR249" s="146"/>
      <c r="BS249" s="146"/>
      <c r="BT249" s="146"/>
      <c r="BU249" s="146"/>
    </row>
    <row r="250" spans="15:73"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6"/>
      <c r="BN250" s="146"/>
      <c r="BO250" s="146"/>
      <c r="BP250" s="146"/>
      <c r="BQ250" s="146"/>
      <c r="BR250" s="146"/>
      <c r="BS250" s="146"/>
      <c r="BT250" s="146"/>
      <c r="BU250" s="146"/>
    </row>
    <row r="251" spans="15:73"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  <c r="BU251" s="146"/>
    </row>
    <row r="252" spans="15:73"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  <c r="BU252" s="146"/>
    </row>
    <row r="253" spans="15:73"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  <c r="BU253" s="146"/>
    </row>
    <row r="254" spans="15:73"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  <c r="BU254" s="146"/>
    </row>
    <row r="255" spans="15:73"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  <c r="BU255" s="146"/>
    </row>
    <row r="256" spans="15:73"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  <c r="BU256" s="146"/>
    </row>
    <row r="257" spans="15:73"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  <c r="BU257" s="146"/>
    </row>
    <row r="258" spans="15:73"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  <c r="BU258" s="146"/>
    </row>
    <row r="259" spans="15:73"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  <c r="BU259" s="146"/>
    </row>
    <row r="260" spans="15:73"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  <c r="BU260" s="146"/>
    </row>
    <row r="261" spans="15:73"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  <c r="BU261" s="146"/>
    </row>
    <row r="262" spans="15:73"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  <c r="BU262" s="146"/>
    </row>
    <row r="263" spans="15:73"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  <c r="BU263" s="146"/>
    </row>
    <row r="264" spans="15:73"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  <c r="BU264" s="146"/>
    </row>
    <row r="265" spans="15:73"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  <c r="BU265" s="146"/>
    </row>
    <row r="266" spans="15:73"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  <c r="BU266" s="146"/>
    </row>
    <row r="267" spans="15:73"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  <c r="BU267" s="146"/>
    </row>
    <row r="268" spans="15:73"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  <c r="BU268" s="146"/>
    </row>
    <row r="269" spans="15:73"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  <c r="BU269" s="146"/>
    </row>
    <row r="270" spans="15:73"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  <c r="BU270" s="146"/>
    </row>
    <row r="271" spans="15:73"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  <c r="BS271" s="146"/>
      <c r="BT271" s="146"/>
      <c r="BU271" s="146"/>
    </row>
    <row r="272" spans="15:73"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  <c r="BU272" s="146"/>
    </row>
    <row r="273" spans="15:73"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  <c r="BU273" s="146"/>
    </row>
    <row r="274" spans="15:73"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  <c r="BU274" s="146"/>
    </row>
    <row r="275" spans="15:73"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  <c r="BU275" s="146"/>
    </row>
    <row r="276" spans="15:73"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  <c r="BU276" s="146"/>
    </row>
    <row r="277" spans="15:73"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  <c r="BU277" s="146"/>
    </row>
    <row r="278" spans="15:73"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  <c r="BU278" s="146"/>
    </row>
    <row r="279" spans="15:73"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  <c r="BU279" s="146"/>
    </row>
    <row r="280" spans="15:73"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  <c r="BU280" s="146"/>
    </row>
    <row r="281" spans="15:73"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  <c r="BU281" s="146"/>
    </row>
    <row r="282" spans="15:73"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  <c r="BU282" s="146"/>
    </row>
    <row r="283" spans="15:73"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  <c r="BU283" s="146"/>
    </row>
    <row r="284" spans="15:73"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46"/>
    </row>
    <row r="285" spans="15:73"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</row>
    <row r="286" spans="15:73"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  <c r="BU286" s="146"/>
    </row>
    <row r="287" spans="15:73"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6"/>
      <c r="BN287" s="146"/>
      <c r="BO287" s="146"/>
      <c r="BP287" s="146"/>
      <c r="BQ287" s="146"/>
      <c r="BR287" s="146"/>
      <c r="BS287" s="146"/>
      <c r="BT287" s="146"/>
      <c r="BU287" s="146"/>
    </row>
    <row r="288" spans="15:73"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  <c r="BU288" s="146"/>
    </row>
    <row r="289" spans="15:73"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  <c r="BU289" s="146"/>
    </row>
    <row r="290" spans="15:73"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  <c r="BU290" s="146"/>
    </row>
    <row r="291" spans="15:73"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  <c r="BU291" s="146"/>
    </row>
    <row r="292" spans="15:73"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  <c r="BU292" s="146"/>
    </row>
    <row r="293" spans="15:73"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6"/>
      <c r="BN293" s="146"/>
      <c r="BO293" s="146"/>
      <c r="BP293" s="146"/>
      <c r="BQ293" s="146"/>
      <c r="BR293" s="146"/>
      <c r="BS293" s="146"/>
      <c r="BT293" s="146"/>
      <c r="BU293" s="146"/>
    </row>
    <row r="294" spans="15:73"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  <c r="BU294" s="146"/>
    </row>
    <row r="295" spans="15:73"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  <c r="BU295" s="146"/>
    </row>
    <row r="296" spans="15:73"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  <c r="BU296" s="146"/>
    </row>
    <row r="297" spans="15:73"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  <c r="BU297" s="146"/>
    </row>
    <row r="298" spans="15:73"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  <c r="BU298" s="146"/>
    </row>
    <row r="299" spans="15:73"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  <c r="BU299" s="146"/>
    </row>
    <row r="300" spans="15:73"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  <c r="BU300" s="146"/>
    </row>
    <row r="301" spans="15:73"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  <c r="BU301" s="146"/>
    </row>
    <row r="302" spans="15:73"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6"/>
      <c r="BN302" s="146"/>
      <c r="BO302" s="146"/>
      <c r="BP302" s="146"/>
      <c r="BQ302" s="146"/>
      <c r="BR302" s="146"/>
      <c r="BS302" s="146"/>
      <c r="BT302" s="146"/>
      <c r="BU302" s="146"/>
    </row>
    <row r="303" spans="15:73"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6"/>
      <c r="BN303" s="146"/>
      <c r="BO303" s="146"/>
      <c r="BP303" s="146"/>
      <c r="BQ303" s="146"/>
      <c r="BR303" s="146"/>
      <c r="BS303" s="146"/>
      <c r="BT303" s="146"/>
      <c r="BU303" s="146"/>
    </row>
    <row r="304" spans="15:73"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46"/>
      <c r="BK304" s="146"/>
      <c r="BL304" s="146"/>
      <c r="BM304" s="146"/>
      <c r="BN304" s="146"/>
      <c r="BO304" s="146"/>
      <c r="BP304" s="146"/>
      <c r="BQ304" s="146"/>
      <c r="BR304" s="146"/>
      <c r="BS304" s="146"/>
      <c r="BT304" s="146"/>
      <c r="BU304" s="146"/>
    </row>
    <row r="305" spans="15:73"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6"/>
      <c r="BN305" s="146"/>
      <c r="BO305" s="146"/>
      <c r="BP305" s="146"/>
      <c r="BQ305" s="146"/>
      <c r="BR305" s="146"/>
      <c r="BS305" s="146"/>
      <c r="BT305" s="146"/>
      <c r="BU305" s="146"/>
    </row>
    <row r="306" spans="15:73"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46"/>
      <c r="BS306" s="146"/>
      <c r="BT306" s="146"/>
      <c r="BU306" s="146"/>
    </row>
    <row r="307" spans="15:73"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46"/>
      <c r="BK307" s="146"/>
      <c r="BL307" s="146"/>
      <c r="BM307" s="146"/>
      <c r="BN307" s="146"/>
      <c r="BO307" s="146"/>
      <c r="BP307" s="146"/>
      <c r="BQ307" s="146"/>
      <c r="BR307" s="146"/>
      <c r="BS307" s="146"/>
      <c r="BT307" s="146"/>
      <c r="BU307" s="146"/>
    </row>
    <row r="308" spans="15:73"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  <c r="BU308" s="146"/>
    </row>
    <row r="309" spans="15:73"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  <c r="BS309" s="146"/>
      <c r="BT309" s="146"/>
      <c r="BU309" s="146"/>
    </row>
    <row r="310" spans="15:73"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  <c r="BU310" s="146"/>
    </row>
    <row r="311" spans="15:73"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  <c r="BU311" s="146"/>
    </row>
    <row r="312" spans="15:73"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  <c r="BU312" s="146"/>
    </row>
    <row r="313" spans="15:73"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  <c r="BU313" s="146"/>
    </row>
    <row r="314" spans="15:73"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  <c r="BU314" s="146"/>
    </row>
    <row r="315" spans="15:73"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  <c r="BU315" s="146"/>
    </row>
    <row r="316" spans="15:73"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6"/>
      <c r="BN316" s="146"/>
      <c r="BO316" s="146"/>
      <c r="BP316" s="146"/>
      <c r="BQ316" s="146"/>
      <c r="BR316" s="146"/>
      <c r="BS316" s="146"/>
      <c r="BT316" s="146"/>
      <c r="BU316" s="146"/>
    </row>
    <row r="317" spans="15:73"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  <c r="BU317" s="146"/>
    </row>
    <row r="318" spans="15:73"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  <c r="BU318" s="146"/>
    </row>
    <row r="319" spans="15:73"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  <c r="BU319" s="146"/>
    </row>
    <row r="320" spans="15:73"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  <c r="BU320" s="146"/>
    </row>
    <row r="321" spans="15:73"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  <c r="BO321" s="146"/>
      <c r="BP321" s="146"/>
      <c r="BQ321" s="146"/>
      <c r="BR321" s="146"/>
      <c r="BS321" s="146"/>
      <c r="BT321" s="146"/>
      <c r="BU321" s="146"/>
    </row>
    <row r="322" spans="15:73"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  <c r="BO322" s="146"/>
      <c r="BP322" s="146"/>
      <c r="BQ322" s="146"/>
      <c r="BR322" s="146"/>
      <c r="BS322" s="146"/>
      <c r="BT322" s="146"/>
      <c r="BU322" s="146"/>
    </row>
    <row r="323" spans="15:73"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  <c r="BU323" s="146"/>
    </row>
    <row r="324" spans="15:73"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  <c r="BU324" s="146"/>
    </row>
    <row r="325" spans="15:73"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  <c r="BU325" s="146"/>
    </row>
    <row r="326" spans="15:73"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  <c r="BU326" s="146"/>
    </row>
    <row r="327" spans="15:73"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  <c r="BU327" s="146"/>
    </row>
    <row r="328" spans="15:73"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  <c r="BU328" s="146"/>
    </row>
    <row r="329" spans="15:73"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  <c r="BU329" s="146"/>
    </row>
    <row r="330" spans="15:73"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  <c r="BU330" s="146"/>
    </row>
    <row r="331" spans="15:73"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  <c r="BO331" s="146"/>
      <c r="BP331" s="146"/>
      <c r="BQ331" s="146"/>
      <c r="BR331" s="146"/>
      <c r="BS331" s="146"/>
      <c r="BT331" s="146"/>
      <c r="BU331" s="146"/>
    </row>
    <row r="332" spans="15:73"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6"/>
      <c r="BN332" s="146"/>
      <c r="BO332" s="146"/>
      <c r="BP332" s="146"/>
      <c r="BQ332" s="146"/>
      <c r="BR332" s="146"/>
      <c r="BS332" s="146"/>
      <c r="BT332" s="146"/>
      <c r="BU332" s="146"/>
    </row>
    <row r="333" spans="15:73"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  <c r="BU333" s="146"/>
    </row>
    <row r="334" spans="15:73"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  <c r="BU334" s="146"/>
    </row>
    <row r="335" spans="15:73"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  <c r="BU335" s="146"/>
    </row>
    <row r="336" spans="15:73"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  <c r="BU336" s="146"/>
    </row>
    <row r="337" spans="15:73"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  <c r="BU337" s="146"/>
    </row>
    <row r="338" spans="15:73"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46"/>
      <c r="BS338" s="146"/>
      <c r="BT338" s="146"/>
      <c r="BU338" s="146"/>
    </row>
    <row r="339" spans="15:73"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  <c r="BU339" s="146"/>
    </row>
    <row r="340" spans="15:73"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  <c r="BU340" s="146"/>
    </row>
    <row r="341" spans="15:73"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  <c r="BU341" s="146"/>
    </row>
    <row r="342" spans="15:73"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  <c r="BU342" s="146"/>
    </row>
    <row r="343" spans="15:73"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  <c r="BU343" s="146"/>
    </row>
    <row r="344" spans="15:73"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  <c r="BU344" s="146"/>
    </row>
    <row r="345" spans="15:73"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  <c r="BU345" s="146"/>
    </row>
    <row r="346" spans="15:73"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  <c r="BU346" s="146"/>
    </row>
    <row r="347" spans="15:73"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  <c r="BU347" s="146"/>
    </row>
    <row r="348" spans="15:73"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  <c r="BU348" s="146"/>
    </row>
    <row r="349" spans="15:73"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  <c r="BU349" s="146"/>
    </row>
    <row r="350" spans="15:73"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  <c r="BU350" s="146"/>
    </row>
    <row r="351" spans="15:73"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  <c r="BU351" s="146"/>
    </row>
    <row r="352" spans="15:73"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  <c r="BI352" s="146"/>
      <c r="BJ352" s="146"/>
      <c r="BK352" s="146"/>
      <c r="BL352" s="146"/>
      <c r="BM352" s="146"/>
      <c r="BN352" s="146"/>
      <c r="BO352" s="146"/>
      <c r="BP352" s="146"/>
      <c r="BQ352" s="146"/>
      <c r="BR352" s="146"/>
      <c r="BS352" s="146"/>
      <c r="BT352" s="146"/>
      <c r="BU352" s="146"/>
    </row>
    <row r="353" spans="15:73"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  <c r="BI353" s="146"/>
      <c r="BJ353" s="146"/>
      <c r="BK353" s="146"/>
      <c r="BL353" s="146"/>
      <c r="BM353" s="146"/>
      <c r="BN353" s="146"/>
      <c r="BO353" s="146"/>
      <c r="BP353" s="146"/>
      <c r="BQ353" s="146"/>
      <c r="BR353" s="146"/>
      <c r="BS353" s="146"/>
      <c r="BT353" s="146"/>
      <c r="BU353" s="146"/>
    </row>
    <row r="354" spans="15:73"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  <c r="BU354" s="146"/>
    </row>
    <row r="355" spans="15:73"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46"/>
      <c r="BK355" s="146"/>
      <c r="BL355" s="146"/>
      <c r="BM355" s="146"/>
      <c r="BN355" s="146"/>
      <c r="BO355" s="146"/>
      <c r="BP355" s="146"/>
      <c r="BQ355" s="146"/>
      <c r="BR355" s="146"/>
      <c r="BS355" s="146"/>
      <c r="BT355" s="146"/>
      <c r="BU355" s="146"/>
    </row>
    <row r="356" spans="15:73"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  <c r="BI356" s="146"/>
      <c r="BJ356" s="146"/>
      <c r="BK356" s="146"/>
      <c r="BL356" s="146"/>
      <c r="BM356" s="146"/>
      <c r="BN356" s="146"/>
      <c r="BO356" s="146"/>
      <c r="BP356" s="146"/>
      <c r="BQ356" s="146"/>
      <c r="BR356" s="146"/>
      <c r="BS356" s="146"/>
      <c r="BT356" s="146"/>
      <c r="BU356" s="146"/>
    </row>
    <row r="357" spans="15:73"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  <c r="BU357" s="146"/>
    </row>
    <row r="358" spans="15:73"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  <c r="BU358" s="146"/>
    </row>
    <row r="359" spans="15:73"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  <c r="BU359" s="146"/>
    </row>
    <row r="360" spans="15:73"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  <c r="BU360" s="146"/>
    </row>
    <row r="361" spans="15:73"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  <c r="BU361" s="146"/>
    </row>
    <row r="362" spans="15:73"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  <c r="BU362" s="146"/>
    </row>
    <row r="363" spans="15:73"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  <c r="BU363" s="146"/>
    </row>
    <row r="364" spans="15:73"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  <c r="BU364" s="146"/>
    </row>
    <row r="365" spans="15:73"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  <c r="BU365" s="146"/>
    </row>
    <row r="366" spans="15:73"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  <c r="BU366" s="146"/>
    </row>
    <row r="367" spans="15:73"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  <c r="BO367" s="146"/>
      <c r="BP367" s="146"/>
      <c r="BQ367" s="146"/>
      <c r="BR367" s="146"/>
      <c r="BS367" s="146"/>
      <c r="BT367" s="146"/>
      <c r="BU367" s="146"/>
    </row>
    <row r="368" spans="15:73"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46"/>
      <c r="BK368" s="146"/>
      <c r="BL368" s="146"/>
      <c r="BM368" s="146"/>
      <c r="BN368" s="146"/>
      <c r="BO368" s="146"/>
      <c r="BP368" s="146"/>
      <c r="BQ368" s="146"/>
      <c r="BR368" s="146"/>
      <c r="BS368" s="146"/>
      <c r="BT368" s="146"/>
      <c r="BU368" s="146"/>
    </row>
    <row r="369" spans="15:73"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46"/>
      <c r="BR369" s="146"/>
      <c r="BS369" s="146"/>
      <c r="BT369" s="146"/>
      <c r="BU369" s="146"/>
    </row>
    <row r="370" spans="15:73"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46"/>
      <c r="BS370" s="146"/>
      <c r="BT370" s="146"/>
      <c r="BU370" s="146"/>
    </row>
    <row r="371" spans="15:73"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  <c r="BU371" s="146"/>
    </row>
    <row r="372" spans="15:73"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  <c r="BU372" s="146"/>
    </row>
    <row r="373" spans="15:73"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  <c r="BU373" s="146"/>
    </row>
    <row r="374" spans="15:73"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  <c r="BU374" s="146"/>
    </row>
    <row r="375" spans="15:73"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  <c r="BU375" s="146"/>
    </row>
    <row r="376" spans="15:73"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  <c r="BU376" s="146"/>
    </row>
    <row r="377" spans="15:73"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  <c r="BU377" s="146"/>
    </row>
    <row r="378" spans="15:73"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  <c r="BU378" s="146"/>
    </row>
    <row r="379" spans="15:73"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  <c r="BU379" s="146"/>
    </row>
    <row r="380" spans="15:73"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  <c r="BI380" s="146"/>
      <c r="BJ380" s="146"/>
      <c r="BK380" s="146"/>
      <c r="BL380" s="146"/>
      <c r="BM380" s="146"/>
      <c r="BN380" s="146"/>
      <c r="BO380" s="146"/>
      <c r="BP380" s="146"/>
      <c r="BQ380" s="146"/>
      <c r="BR380" s="146"/>
      <c r="BS380" s="146"/>
      <c r="BT380" s="146"/>
      <c r="BU380" s="146"/>
    </row>
    <row r="381" spans="15:73"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46"/>
      <c r="BK381" s="146"/>
      <c r="BL381" s="146"/>
      <c r="BM381" s="146"/>
      <c r="BN381" s="146"/>
      <c r="BO381" s="146"/>
      <c r="BP381" s="146"/>
      <c r="BQ381" s="146"/>
      <c r="BR381" s="146"/>
      <c r="BS381" s="146"/>
      <c r="BT381" s="146"/>
      <c r="BU381" s="146"/>
    </row>
    <row r="382" spans="15:73"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46"/>
      <c r="BK382" s="146"/>
      <c r="BL382" s="146"/>
      <c r="BM382" s="146"/>
      <c r="BN382" s="146"/>
      <c r="BO382" s="146"/>
      <c r="BP382" s="146"/>
      <c r="BQ382" s="146"/>
      <c r="BR382" s="146"/>
      <c r="BS382" s="146"/>
      <c r="BT382" s="146"/>
      <c r="BU382" s="146"/>
    </row>
    <row r="383" spans="15:73"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  <c r="BS383" s="146"/>
      <c r="BT383" s="146"/>
      <c r="BU383" s="146"/>
    </row>
    <row r="384" spans="15:73"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  <c r="BI384" s="146"/>
      <c r="BJ384" s="146"/>
      <c r="BK384" s="146"/>
      <c r="BL384" s="146"/>
      <c r="BM384" s="146"/>
      <c r="BN384" s="146"/>
      <c r="BO384" s="146"/>
      <c r="BP384" s="146"/>
      <c r="BQ384" s="146"/>
      <c r="BR384" s="146"/>
      <c r="BS384" s="146"/>
      <c r="BT384" s="146"/>
      <c r="BU384" s="146"/>
    </row>
    <row r="385" spans="15:73"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  <c r="BI385" s="146"/>
      <c r="BJ385" s="146"/>
      <c r="BK385" s="146"/>
      <c r="BL385" s="146"/>
      <c r="BM385" s="146"/>
      <c r="BN385" s="146"/>
      <c r="BO385" s="146"/>
      <c r="BP385" s="146"/>
      <c r="BQ385" s="146"/>
      <c r="BR385" s="146"/>
      <c r="BS385" s="146"/>
      <c r="BT385" s="146"/>
      <c r="BU385" s="146"/>
    </row>
    <row r="386" spans="15:73"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  <c r="BI386" s="146"/>
      <c r="BJ386" s="146"/>
      <c r="BK386" s="146"/>
      <c r="BL386" s="146"/>
      <c r="BM386" s="146"/>
      <c r="BN386" s="146"/>
      <c r="BO386" s="146"/>
      <c r="BP386" s="146"/>
      <c r="BQ386" s="146"/>
      <c r="BR386" s="146"/>
      <c r="BS386" s="146"/>
      <c r="BT386" s="146"/>
      <c r="BU386" s="146"/>
    </row>
    <row r="387" spans="15:73"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46"/>
      <c r="BK387" s="146"/>
      <c r="BL387" s="146"/>
      <c r="BM387" s="146"/>
      <c r="BN387" s="146"/>
      <c r="BO387" s="146"/>
      <c r="BP387" s="146"/>
      <c r="BQ387" s="146"/>
      <c r="BR387" s="146"/>
      <c r="BS387" s="146"/>
      <c r="BT387" s="146"/>
      <c r="BU387" s="146"/>
    </row>
    <row r="388" spans="15:73"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  <c r="BI388" s="146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  <c r="BU388" s="146"/>
    </row>
    <row r="389" spans="15:73"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46"/>
      <c r="BK389" s="146"/>
      <c r="BL389" s="146"/>
      <c r="BM389" s="146"/>
      <c r="BN389" s="146"/>
      <c r="BO389" s="146"/>
      <c r="BP389" s="146"/>
      <c r="BQ389" s="146"/>
      <c r="BR389" s="146"/>
      <c r="BS389" s="146"/>
      <c r="BT389" s="146"/>
      <c r="BU389" s="146"/>
    </row>
    <row r="390" spans="15:73"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46"/>
      <c r="BK390" s="146"/>
      <c r="BL390" s="146"/>
      <c r="BM390" s="146"/>
      <c r="BN390" s="146"/>
      <c r="BO390" s="146"/>
      <c r="BP390" s="146"/>
      <c r="BQ390" s="146"/>
      <c r="BR390" s="146"/>
      <c r="BS390" s="146"/>
      <c r="BT390" s="146"/>
      <c r="BU390" s="146"/>
    </row>
    <row r="391" spans="15:73"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  <c r="BK391" s="146"/>
      <c r="BL391" s="146"/>
      <c r="BM391" s="146"/>
      <c r="BN391" s="146"/>
      <c r="BO391" s="146"/>
      <c r="BP391" s="146"/>
      <c r="BQ391" s="146"/>
      <c r="BR391" s="146"/>
      <c r="BS391" s="146"/>
      <c r="BT391" s="146"/>
      <c r="BU391" s="146"/>
    </row>
    <row r="392" spans="15:73"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46"/>
      <c r="BK392" s="146"/>
      <c r="BL392" s="146"/>
      <c r="BM392" s="146"/>
      <c r="BN392" s="146"/>
      <c r="BO392" s="146"/>
      <c r="BP392" s="146"/>
      <c r="BQ392" s="146"/>
      <c r="BR392" s="146"/>
      <c r="BS392" s="146"/>
      <c r="BT392" s="146"/>
      <c r="BU392" s="146"/>
    </row>
    <row r="393" spans="15:73"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46"/>
      <c r="BK393" s="146"/>
      <c r="BL393" s="146"/>
      <c r="BM393" s="146"/>
      <c r="BN393" s="146"/>
      <c r="BO393" s="146"/>
      <c r="BP393" s="146"/>
      <c r="BQ393" s="146"/>
      <c r="BR393" s="146"/>
      <c r="BS393" s="146"/>
      <c r="BT393" s="146"/>
      <c r="BU393" s="146"/>
    </row>
    <row r="394" spans="15:73"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46"/>
      <c r="BK394" s="146"/>
      <c r="BL394" s="146"/>
      <c r="BM394" s="146"/>
      <c r="BN394" s="146"/>
      <c r="BO394" s="146"/>
      <c r="BP394" s="146"/>
      <c r="BQ394" s="146"/>
      <c r="BR394" s="146"/>
      <c r="BS394" s="146"/>
      <c r="BT394" s="146"/>
      <c r="BU394" s="146"/>
    </row>
    <row r="395" spans="15:73"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46"/>
      <c r="BK395" s="146"/>
      <c r="BL395" s="146"/>
      <c r="BM395" s="146"/>
      <c r="BN395" s="146"/>
      <c r="BO395" s="146"/>
      <c r="BP395" s="146"/>
      <c r="BQ395" s="146"/>
      <c r="BR395" s="146"/>
      <c r="BS395" s="146"/>
      <c r="BT395" s="146"/>
      <c r="BU395" s="146"/>
    </row>
    <row r="396" spans="15:73"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146"/>
      <c r="BF396" s="146"/>
      <c r="BG396" s="146"/>
      <c r="BH396" s="146"/>
      <c r="BI396" s="146"/>
      <c r="BJ396" s="146"/>
      <c r="BK396" s="146"/>
      <c r="BL396" s="146"/>
      <c r="BM396" s="146"/>
      <c r="BN396" s="146"/>
      <c r="BO396" s="146"/>
      <c r="BP396" s="146"/>
      <c r="BQ396" s="146"/>
      <c r="BR396" s="146"/>
      <c r="BS396" s="146"/>
      <c r="BT396" s="146"/>
      <c r="BU396" s="146"/>
    </row>
    <row r="397" spans="15:73"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46"/>
      <c r="BK397" s="146"/>
      <c r="BL397" s="146"/>
      <c r="BM397" s="146"/>
      <c r="BN397" s="146"/>
      <c r="BO397" s="146"/>
      <c r="BP397" s="146"/>
      <c r="BQ397" s="146"/>
      <c r="BR397" s="146"/>
      <c r="BS397" s="146"/>
      <c r="BT397" s="146"/>
      <c r="BU397" s="146"/>
    </row>
    <row r="398" spans="15:73"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46"/>
      <c r="BO398" s="146"/>
      <c r="BP398" s="146"/>
      <c r="BQ398" s="146"/>
      <c r="BR398" s="146"/>
      <c r="BS398" s="146"/>
      <c r="BT398" s="146"/>
      <c r="BU398" s="146"/>
    </row>
    <row r="399" spans="15:73"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46"/>
      <c r="BK399" s="146"/>
      <c r="BL399" s="146"/>
      <c r="BM399" s="146"/>
      <c r="BN399" s="146"/>
      <c r="BO399" s="146"/>
      <c r="BP399" s="146"/>
      <c r="BQ399" s="146"/>
      <c r="BR399" s="146"/>
      <c r="BS399" s="146"/>
      <c r="BT399" s="146"/>
      <c r="BU399" s="146"/>
    </row>
    <row r="400" spans="15:73"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46"/>
      <c r="BK400" s="146"/>
      <c r="BL400" s="146"/>
      <c r="BM400" s="146"/>
      <c r="BN400" s="146"/>
      <c r="BO400" s="146"/>
      <c r="BP400" s="146"/>
      <c r="BQ400" s="146"/>
      <c r="BR400" s="146"/>
      <c r="BS400" s="146"/>
      <c r="BT400" s="146"/>
      <c r="BU400" s="146"/>
    </row>
    <row r="401" spans="15:73"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46"/>
      <c r="BR401" s="146"/>
      <c r="BS401" s="146"/>
      <c r="BT401" s="146"/>
      <c r="BU401" s="146"/>
    </row>
    <row r="402" spans="15:73"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46"/>
      <c r="BS402" s="146"/>
      <c r="BT402" s="146"/>
      <c r="BU402" s="146"/>
    </row>
    <row r="403" spans="15:73"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6"/>
      <c r="AU403" s="146"/>
      <c r="AV403" s="146"/>
      <c r="AW403" s="146"/>
      <c r="AX403" s="146"/>
      <c r="AY403" s="146"/>
      <c r="AZ403" s="146"/>
      <c r="BA403" s="146"/>
      <c r="BB403" s="146"/>
      <c r="BC403" s="146"/>
      <c r="BD403" s="146"/>
      <c r="BE403" s="146"/>
      <c r="BF403" s="146"/>
      <c r="BG403" s="146"/>
      <c r="BH403" s="146"/>
      <c r="BI403" s="146"/>
      <c r="BJ403" s="146"/>
      <c r="BK403" s="146"/>
      <c r="BL403" s="146"/>
      <c r="BM403" s="146"/>
      <c r="BN403" s="146"/>
      <c r="BO403" s="146"/>
      <c r="BP403" s="146"/>
      <c r="BQ403" s="146"/>
      <c r="BR403" s="146"/>
      <c r="BS403" s="146"/>
      <c r="BT403" s="146"/>
      <c r="BU403" s="146"/>
    </row>
    <row r="404" spans="15:73"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46"/>
      <c r="BK404" s="146"/>
      <c r="BL404" s="146"/>
      <c r="BM404" s="146"/>
      <c r="BN404" s="146"/>
      <c r="BO404" s="146"/>
      <c r="BP404" s="146"/>
      <c r="BQ404" s="146"/>
      <c r="BR404" s="146"/>
      <c r="BS404" s="146"/>
      <c r="BT404" s="146"/>
      <c r="BU404" s="146"/>
    </row>
    <row r="405" spans="15:73"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46"/>
      <c r="BK405" s="146"/>
      <c r="BL405" s="146"/>
      <c r="BM405" s="146"/>
      <c r="BN405" s="146"/>
      <c r="BO405" s="146"/>
      <c r="BP405" s="146"/>
      <c r="BQ405" s="146"/>
      <c r="BR405" s="146"/>
      <c r="BS405" s="146"/>
      <c r="BT405" s="146"/>
      <c r="BU405" s="146"/>
    </row>
    <row r="406" spans="15:73"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46"/>
      <c r="BK406" s="146"/>
      <c r="BL406" s="146"/>
      <c r="BM406" s="146"/>
      <c r="BN406" s="146"/>
      <c r="BO406" s="146"/>
      <c r="BP406" s="146"/>
      <c r="BQ406" s="146"/>
      <c r="BR406" s="146"/>
      <c r="BS406" s="146"/>
      <c r="BT406" s="146"/>
      <c r="BU406" s="146"/>
    </row>
    <row r="407" spans="15:73"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46"/>
      <c r="BK407" s="146"/>
      <c r="BL407" s="146"/>
      <c r="BM407" s="146"/>
      <c r="BN407" s="146"/>
      <c r="BO407" s="146"/>
      <c r="BP407" s="146"/>
      <c r="BQ407" s="146"/>
      <c r="BR407" s="146"/>
      <c r="BS407" s="146"/>
      <c r="BT407" s="146"/>
      <c r="BU407" s="146"/>
    </row>
    <row r="408" spans="15:73"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146"/>
      <c r="BF408" s="146"/>
      <c r="BG408" s="146"/>
      <c r="BH408" s="146"/>
      <c r="BI408" s="146"/>
      <c r="BJ408" s="146"/>
      <c r="BK408" s="146"/>
      <c r="BL408" s="146"/>
      <c r="BM408" s="146"/>
      <c r="BN408" s="146"/>
      <c r="BO408" s="146"/>
      <c r="BP408" s="146"/>
      <c r="BQ408" s="146"/>
      <c r="BR408" s="146"/>
      <c r="BS408" s="146"/>
      <c r="BT408" s="146"/>
      <c r="BU408" s="146"/>
    </row>
    <row r="409" spans="15:73"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46"/>
      <c r="BK409" s="146"/>
      <c r="BL409" s="146"/>
      <c r="BM409" s="146"/>
      <c r="BN409" s="146"/>
      <c r="BO409" s="146"/>
      <c r="BP409" s="146"/>
      <c r="BQ409" s="146"/>
      <c r="BR409" s="146"/>
      <c r="BS409" s="146"/>
      <c r="BT409" s="146"/>
      <c r="BU409" s="146"/>
    </row>
    <row r="410" spans="15:73"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6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46"/>
      <c r="BK410" s="146"/>
      <c r="BL410" s="146"/>
      <c r="BM410" s="146"/>
      <c r="BN410" s="146"/>
      <c r="BO410" s="146"/>
      <c r="BP410" s="146"/>
      <c r="BQ410" s="146"/>
      <c r="BR410" s="146"/>
      <c r="BS410" s="146"/>
      <c r="BT410" s="146"/>
      <c r="BU410" s="146"/>
    </row>
    <row r="411" spans="15:73"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46"/>
      <c r="BK411" s="146"/>
      <c r="BL411" s="146"/>
      <c r="BM411" s="146"/>
      <c r="BN411" s="146"/>
      <c r="BO411" s="146"/>
      <c r="BP411" s="146"/>
      <c r="BQ411" s="146"/>
      <c r="BR411" s="146"/>
      <c r="BS411" s="146"/>
      <c r="BT411" s="146"/>
      <c r="BU411" s="146"/>
    </row>
    <row r="412" spans="15:73"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146"/>
      <c r="BF412" s="146"/>
      <c r="BG412" s="146"/>
      <c r="BH412" s="146"/>
      <c r="BI412" s="146"/>
      <c r="BJ412" s="146"/>
      <c r="BK412" s="146"/>
      <c r="BL412" s="146"/>
      <c r="BM412" s="146"/>
      <c r="BN412" s="146"/>
      <c r="BO412" s="146"/>
      <c r="BP412" s="146"/>
      <c r="BQ412" s="146"/>
      <c r="BR412" s="146"/>
      <c r="BS412" s="146"/>
      <c r="BT412" s="146"/>
      <c r="BU412" s="146"/>
    </row>
    <row r="413" spans="15:73"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46"/>
      <c r="BK413" s="146"/>
      <c r="BL413" s="146"/>
      <c r="BM413" s="146"/>
      <c r="BN413" s="146"/>
      <c r="BO413" s="146"/>
      <c r="BP413" s="146"/>
      <c r="BQ413" s="146"/>
      <c r="BR413" s="146"/>
      <c r="BS413" s="146"/>
      <c r="BT413" s="146"/>
      <c r="BU413" s="146"/>
    </row>
    <row r="414" spans="15:73"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46"/>
      <c r="BK414" s="146"/>
      <c r="BL414" s="146"/>
      <c r="BM414" s="146"/>
      <c r="BN414" s="146"/>
      <c r="BO414" s="146"/>
      <c r="BP414" s="146"/>
      <c r="BQ414" s="146"/>
      <c r="BR414" s="146"/>
      <c r="BS414" s="146"/>
      <c r="BT414" s="146"/>
      <c r="BU414" s="146"/>
    </row>
    <row r="415" spans="15:73"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46"/>
      <c r="BK415" s="146"/>
      <c r="BL415" s="146"/>
      <c r="BM415" s="146"/>
      <c r="BN415" s="146"/>
      <c r="BO415" s="146"/>
      <c r="BP415" s="146"/>
      <c r="BQ415" s="146"/>
      <c r="BR415" s="146"/>
      <c r="BS415" s="146"/>
      <c r="BT415" s="146"/>
      <c r="BU415" s="146"/>
    </row>
    <row r="416" spans="15:73"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146"/>
      <c r="BF416" s="146"/>
      <c r="BG416" s="146"/>
      <c r="BH416" s="146"/>
      <c r="BI416" s="146"/>
      <c r="BJ416" s="146"/>
      <c r="BK416" s="146"/>
      <c r="BL416" s="146"/>
      <c r="BM416" s="146"/>
      <c r="BN416" s="146"/>
      <c r="BO416" s="146"/>
      <c r="BP416" s="146"/>
      <c r="BQ416" s="146"/>
      <c r="BR416" s="146"/>
      <c r="BS416" s="146"/>
      <c r="BT416" s="146"/>
      <c r="BU416" s="146"/>
    </row>
    <row r="417" spans="15:73"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46"/>
      <c r="BB417" s="146"/>
      <c r="BC417" s="146"/>
      <c r="BD417" s="146"/>
      <c r="BE417" s="146"/>
      <c r="BF417" s="146"/>
      <c r="BG417" s="146"/>
      <c r="BH417" s="146"/>
      <c r="BI417" s="146"/>
      <c r="BJ417" s="146"/>
      <c r="BK417" s="146"/>
      <c r="BL417" s="146"/>
      <c r="BM417" s="146"/>
      <c r="BN417" s="146"/>
      <c r="BO417" s="146"/>
      <c r="BP417" s="146"/>
      <c r="BQ417" s="146"/>
      <c r="BR417" s="146"/>
      <c r="BS417" s="146"/>
      <c r="BT417" s="146"/>
      <c r="BU417" s="146"/>
    </row>
    <row r="418" spans="15:73"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46"/>
      <c r="BC418" s="146"/>
      <c r="BD418" s="146"/>
      <c r="BE418" s="146"/>
      <c r="BF418" s="146"/>
      <c r="BG418" s="146"/>
      <c r="BH418" s="146"/>
      <c r="BI418" s="146"/>
      <c r="BJ418" s="146"/>
      <c r="BK418" s="146"/>
      <c r="BL418" s="146"/>
      <c r="BM418" s="146"/>
      <c r="BN418" s="146"/>
      <c r="BO418" s="146"/>
      <c r="BP418" s="146"/>
      <c r="BQ418" s="146"/>
      <c r="BR418" s="146"/>
      <c r="BS418" s="146"/>
      <c r="BT418" s="146"/>
      <c r="BU418" s="146"/>
    </row>
    <row r="419" spans="15:73"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  <c r="BO419" s="146"/>
      <c r="BP419" s="146"/>
      <c r="BQ419" s="146"/>
      <c r="BR419" s="146"/>
      <c r="BS419" s="146"/>
      <c r="BT419" s="146"/>
      <c r="BU419" s="146"/>
    </row>
    <row r="420" spans="15:73"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  <c r="BI420" s="146"/>
      <c r="BJ420" s="146"/>
      <c r="BK420" s="146"/>
      <c r="BL420" s="146"/>
      <c r="BM420" s="146"/>
      <c r="BN420" s="146"/>
      <c r="BO420" s="146"/>
      <c r="BP420" s="146"/>
      <c r="BQ420" s="146"/>
      <c r="BR420" s="146"/>
      <c r="BS420" s="146"/>
      <c r="BT420" s="146"/>
      <c r="BU420" s="146"/>
    </row>
    <row r="421" spans="15:73"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46"/>
      <c r="BF421" s="146"/>
      <c r="BG421" s="146"/>
      <c r="BH421" s="146"/>
      <c r="BI421" s="146"/>
      <c r="BJ421" s="146"/>
      <c r="BK421" s="146"/>
      <c r="BL421" s="146"/>
      <c r="BM421" s="146"/>
      <c r="BN421" s="146"/>
      <c r="BO421" s="146"/>
      <c r="BP421" s="146"/>
      <c r="BQ421" s="146"/>
      <c r="BR421" s="146"/>
      <c r="BS421" s="146"/>
      <c r="BT421" s="146"/>
      <c r="BU421" s="146"/>
    </row>
    <row r="422" spans="15:73"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46"/>
      <c r="BG422" s="146"/>
      <c r="BH422" s="146"/>
      <c r="BI422" s="146"/>
      <c r="BJ422" s="146"/>
      <c r="BK422" s="146"/>
      <c r="BL422" s="146"/>
      <c r="BM422" s="146"/>
      <c r="BN422" s="146"/>
      <c r="BO422" s="146"/>
      <c r="BP422" s="146"/>
      <c r="BQ422" s="146"/>
      <c r="BR422" s="146"/>
      <c r="BS422" s="146"/>
      <c r="BT422" s="146"/>
      <c r="BU422" s="146"/>
    </row>
    <row r="423" spans="15:73"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46"/>
      <c r="BK423" s="146"/>
      <c r="BL423" s="146"/>
      <c r="BM423" s="146"/>
      <c r="BN423" s="146"/>
      <c r="BO423" s="146"/>
      <c r="BP423" s="146"/>
      <c r="BQ423" s="146"/>
      <c r="BR423" s="146"/>
      <c r="BS423" s="146"/>
      <c r="BT423" s="146"/>
      <c r="BU423" s="146"/>
    </row>
    <row r="424" spans="15:73"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46"/>
      <c r="BA424" s="146"/>
      <c r="BB424" s="146"/>
      <c r="BC424" s="146"/>
      <c r="BD424" s="146"/>
      <c r="BE424" s="146"/>
      <c r="BF424" s="146"/>
      <c r="BG424" s="146"/>
      <c r="BH424" s="146"/>
      <c r="BI424" s="146"/>
      <c r="BJ424" s="146"/>
      <c r="BK424" s="146"/>
      <c r="BL424" s="146"/>
      <c r="BM424" s="146"/>
      <c r="BN424" s="146"/>
      <c r="BO424" s="146"/>
      <c r="BP424" s="146"/>
      <c r="BQ424" s="146"/>
      <c r="BR424" s="146"/>
      <c r="BS424" s="146"/>
      <c r="BT424" s="146"/>
      <c r="BU424" s="146"/>
    </row>
    <row r="425" spans="15:73"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46"/>
      <c r="BK425" s="146"/>
      <c r="BL425" s="146"/>
      <c r="BM425" s="146"/>
      <c r="BN425" s="146"/>
      <c r="BO425" s="146"/>
      <c r="BP425" s="146"/>
      <c r="BQ425" s="146"/>
      <c r="BR425" s="146"/>
      <c r="BS425" s="146"/>
      <c r="BT425" s="146"/>
      <c r="BU425" s="146"/>
    </row>
    <row r="426" spans="15:73"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46"/>
      <c r="BK426" s="146"/>
      <c r="BL426" s="146"/>
      <c r="BM426" s="146"/>
      <c r="BN426" s="146"/>
      <c r="BO426" s="146"/>
      <c r="BP426" s="146"/>
      <c r="BQ426" s="146"/>
      <c r="BR426" s="146"/>
      <c r="BS426" s="146"/>
      <c r="BT426" s="146"/>
      <c r="BU426" s="146"/>
    </row>
    <row r="427" spans="15:73"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46"/>
      <c r="BQ427" s="146"/>
      <c r="BR427" s="146"/>
      <c r="BS427" s="146"/>
      <c r="BT427" s="146"/>
      <c r="BU427" s="146"/>
    </row>
    <row r="428" spans="15:73"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  <c r="BN428" s="146"/>
      <c r="BO428" s="146"/>
      <c r="BP428" s="146"/>
      <c r="BQ428" s="146"/>
      <c r="BR428" s="146"/>
      <c r="BS428" s="146"/>
      <c r="BT428" s="146"/>
      <c r="BU428" s="146"/>
    </row>
    <row r="429" spans="15:73"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46"/>
      <c r="BN429" s="146"/>
      <c r="BO429" s="146"/>
      <c r="BP429" s="146"/>
      <c r="BQ429" s="146"/>
      <c r="BR429" s="146"/>
      <c r="BS429" s="146"/>
      <c r="BT429" s="146"/>
      <c r="BU429" s="146"/>
    </row>
    <row r="430" spans="15:73"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46"/>
      <c r="BO430" s="146"/>
      <c r="BP430" s="146"/>
      <c r="BQ430" s="146"/>
      <c r="BR430" s="146"/>
      <c r="BS430" s="146"/>
      <c r="BT430" s="146"/>
      <c r="BU430" s="146"/>
    </row>
    <row r="431" spans="15:73"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46"/>
      <c r="BK431" s="146"/>
      <c r="BL431" s="146"/>
      <c r="BM431" s="146"/>
      <c r="BN431" s="146"/>
      <c r="BO431" s="146"/>
      <c r="BP431" s="146"/>
      <c r="BQ431" s="146"/>
      <c r="BR431" s="146"/>
      <c r="BS431" s="146"/>
      <c r="BT431" s="146"/>
      <c r="BU431" s="146"/>
    </row>
    <row r="432" spans="15:73"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146"/>
      <c r="BF432" s="146"/>
      <c r="BG432" s="146"/>
      <c r="BH432" s="146"/>
      <c r="BI432" s="146"/>
      <c r="BJ432" s="146"/>
      <c r="BK432" s="146"/>
      <c r="BL432" s="146"/>
      <c r="BM432" s="146"/>
      <c r="BN432" s="146"/>
      <c r="BO432" s="146"/>
      <c r="BP432" s="146"/>
      <c r="BQ432" s="146"/>
      <c r="BR432" s="146"/>
      <c r="BS432" s="146"/>
      <c r="BT432" s="146"/>
      <c r="BU432" s="146"/>
    </row>
    <row r="433" spans="15:73"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46"/>
      <c r="BK433" s="146"/>
      <c r="BL433" s="146"/>
      <c r="BM433" s="146"/>
      <c r="BN433" s="146"/>
      <c r="BO433" s="146"/>
      <c r="BP433" s="146"/>
      <c r="BQ433" s="146"/>
      <c r="BR433" s="146"/>
      <c r="BS433" s="146"/>
      <c r="BT433" s="146"/>
      <c r="BU433" s="146"/>
    </row>
    <row r="434" spans="15:73"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  <c r="BU434" s="146"/>
    </row>
    <row r="435" spans="15:73"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146"/>
      <c r="BA435" s="146"/>
      <c r="BB435" s="146"/>
      <c r="BC435" s="146"/>
      <c r="BD435" s="146"/>
      <c r="BE435" s="146"/>
      <c r="BF435" s="146"/>
      <c r="BG435" s="146"/>
      <c r="BH435" s="146"/>
      <c r="BI435" s="146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  <c r="BU435" s="146"/>
    </row>
    <row r="436" spans="15:73"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  <c r="BU436" s="146"/>
    </row>
    <row r="437" spans="15:73"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46"/>
      <c r="BK437" s="146"/>
      <c r="BL437" s="146"/>
      <c r="BM437" s="146"/>
      <c r="BN437" s="146"/>
      <c r="BO437" s="146"/>
      <c r="BP437" s="146"/>
      <c r="BQ437" s="146"/>
      <c r="BR437" s="146"/>
      <c r="BS437" s="146"/>
      <c r="BT437" s="146"/>
      <c r="BU437" s="146"/>
    </row>
    <row r="438" spans="15:73"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  <c r="BS438" s="146"/>
      <c r="BT438" s="146"/>
      <c r="BU438" s="146"/>
    </row>
    <row r="439" spans="15:73"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  <c r="BU439" s="146"/>
    </row>
    <row r="440" spans="15:73"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6"/>
      <c r="AU440" s="146"/>
      <c r="AV440" s="146"/>
      <c r="AW440" s="146"/>
      <c r="AX440" s="146"/>
      <c r="AY440" s="146"/>
      <c r="AZ440" s="146"/>
      <c r="BA440" s="146"/>
      <c r="BB440" s="146"/>
      <c r="BC440" s="146"/>
      <c r="BD440" s="146"/>
      <c r="BE440" s="146"/>
      <c r="BF440" s="146"/>
      <c r="BG440" s="146"/>
      <c r="BH440" s="146"/>
      <c r="BI440" s="146"/>
      <c r="BJ440" s="146"/>
      <c r="BK440" s="146"/>
      <c r="BL440" s="146"/>
      <c r="BM440" s="146"/>
      <c r="BN440" s="146"/>
      <c r="BO440" s="146"/>
      <c r="BP440" s="146"/>
      <c r="BQ440" s="146"/>
      <c r="BR440" s="146"/>
      <c r="BS440" s="146"/>
      <c r="BT440" s="146"/>
      <c r="BU440" s="146"/>
    </row>
    <row r="441" spans="15:73"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  <c r="BS441" s="146"/>
      <c r="BT441" s="146"/>
      <c r="BU441" s="146"/>
    </row>
    <row r="442" spans="15:73"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  <c r="BS442" s="146"/>
      <c r="BT442" s="146"/>
      <c r="BU442" s="146"/>
    </row>
    <row r="443" spans="15:73"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  <c r="BT443" s="146"/>
      <c r="BU443" s="146"/>
    </row>
    <row r="444" spans="15:73"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146"/>
      <c r="BF444" s="146"/>
      <c r="BG444" s="146"/>
      <c r="BH444" s="146"/>
      <c r="BI444" s="146"/>
      <c r="BJ444" s="146"/>
      <c r="BK444" s="146"/>
      <c r="BL444" s="146"/>
      <c r="BM444" s="146"/>
      <c r="BN444" s="146"/>
      <c r="BO444" s="146"/>
      <c r="BP444" s="146"/>
      <c r="BQ444" s="146"/>
      <c r="BR444" s="146"/>
      <c r="BS444" s="146"/>
      <c r="BT444" s="146"/>
      <c r="BU444" s="146"/>
    </row>
    <row r="445" spans="15:73"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46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46"/>
      <c r="BK445" s="146"/>
      <c r="BL445" s="146"/>
      <c r="BM445" s="146"/>
      <c r="BN445" s="146"/>
      <c r="BO445" s="146"/>
      <c r="BP445" s="146"/>
      <c r="BQ445" s="146"/>
      <c r="BR445" s="146"/>
      <c r="BS445" s="146"/>
      <c r="BT445" s="146"/>
      <c r="BU445" s="146"/>
    </row>
    <row r="446" spans="15:73"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46"/>
      <c r="BK446" s="146"/>
      <c r="BL446" s="146"/>
      <c r="BM446" s="146"/>
      <c r="BN446" s="146"/>
      <c r="BO446" s="146"/>
      <c r="BP446" s="146"/>
      <c r="BQ446" s="146"/>
      <c r="BR446" s="146"/>
      <c r="BS446" s="146"/>
      <c r="BT446" s="146"/>
      <c r="BU446" s="146"/>
    </row>
    <row r="447" spans="15:73"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46"/>
      <c r="BK447" s="146"/>
      <c r="BL447" s="146"/>
      <c r="BM447" s="146"/>
      <c r="BN447" s="146"/>
      <c r="BO447" s="146"/>
      <c r="BP447" s="146"/>
      <c r="BQ447" s="146"/>
      <c r="BR447" s="146"/>
      <c r="BS447" s="146"/>
      <c r="BT447" s="146"/>
      <c r="BU447" s="146"/>
    </row>
    <row r="448" spans="15:73"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146"/>
      <c r="BF448" s="146"/>
      <c r="BG448" s="146"/>
      <c r="BH448" s="146"/>
      <c r="BI448" s="146"/>
      <c r="BJ448" s="146"/>
      <c r="BK448" s="146"/>
      <c r="BL448" s="146"/>
      <c r="BM448" s="146"/>
      <c r="BN448" s="146"/>
      <c r="BO448" s="146"/>
      <c r="BP448" s="146"/>
      <c r="BQ448" s="146"/>
      <c r="BR448" s="146"/>
      <c r="BS448" s="146"/>
      <c r="BT448" s="146"/>
      <c r="BU448" s="146"/>
    </row>
    <row r="449" spans="15:73"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46"/>
      <c r="BB449" s="146"/>
      <c r="BC449" s="146"/>
      <c r="BD449" s="146"/>
      <c r="BE449" s="146"/>
      <c r="BF449" s="146"/>
      <c r="BG449" s="146"/>
      <c r="BH449" s="146"/>
      <c r="BI449" s="146"/>
      <c r="BJ449" s="146"/>
      <c r="BK449" s="146"/>
      <c r="BL449" s="146"/>
      <c r="BM449" s="146"/>
      <c r="BN449" s="146"/>
      <c r="BO449" s="146"/>
      <c r="BP449" s="146"/>
      <c r="BQ449" s="146"/>
      <c r="BR449" s="146"/>
      <c r="BS449" s="146"/>
      <c r="BT449" s="146"/>
      <c r="BU449" s="146"/>
    </row>
    <row r="450" spans="15:73"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46"/>
      <c r="BC450" s="146"/>
      <c r="BD450" s="146"/>
      <c r="BE450" s="146"/>
      <c r="BF450" s="146"/>
      <c r="BG450" s="146"/>
      <c r="BH450" s="146"/>
      <c r="BI450" s="146"/>
      <c r="BJ450" s="146"/>
      <c r="BK450" s="146"/>
      <c r="BL450" s="146"/>
      <c r="BM450" s="146"/>
      <c r="BN450" s="146"/>
      <c r="BO450" s="146"/>
      <c r="BP450" s="146"/>
      <c r="BQ450" s="146"/>
      <c r="BR450" s="146"/>
      <c r="BS450" s="146"/>
      <c r="BT450" s="146"/>
      <c r="BU450" s="146"/>
    </row>
    <row r="451" spans="15:73"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46"/>
      <c r="BK451" s="146"/>
      <c r="BL451" s="146"/>
      <c r="BM451" s="146"/>
      <c r="BN451" s="146"/>
      <c r="BO451" s="146"/>
      <c r="BP451" s="146"/>
      <c r="BQ451" s="146"/>
      <c r="BR451" s="146"/>
      <c r="BS451" s="146"/>
      <c r="BT451" s="146"/>
      <c r="BU451" s="146"/>
    </row>
    <row r="452" spans="15:73"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146"/>
      <c r="BF452" s="146"/>
      <c r="BG452" s="146"/>
      <c r="BH452" s="146"/>
      <c r="BI452" s="146"/>
      <c r="BJ452" s="146"/>
      <c r="BK452" s="146"/>
      <c r="BL452" s="146"/>
      <c r="BM452" s="146"/>
      <c r="BN452" s="146"/>
      <c r="BO452" s="146"/>
      <c r="BP452" s="146"/>
      <c r="BQ452" s="146"/>
      <c r="BR452" s="146"/>
      <c r="BS452" s="146"/>
      <c r="BT452" s="146"/>
      <c r="BU452" s="146"/>
    </row>
    <row r="453" spans="15:73"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46"/>
      <c r="BF453" s="146"/>
      <c r="BG453" s="146"/>
      <c r="BH453" s="146"/>
      <c r="BI453" s="146"/>
      <c r="BJ453" s="146"/>
      <c r="BK453" s="146"/>
      <c r="BL453" s="146"/>
      <c r="BM453" s="146"/>
      <c r="BN453" s="146"/>
      <c r="BO453" s="146"/>
      <c r="BP453" s="146"/>
      <c r="BQ453" s="146"/>
      <c r="BR453" s="146"/>
      <c r="BS453" s="146"/>
      <c r="BT453" s="146"/>
      <c r="BU453" s="146"/>
    </row>
    <row r="454" spans="15:73"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46"/>
      <c r="BG454" s="146"/>
      <c r="BH454" s="146"/>
      <c r="BI454" s="146"/>
      <c r="BJ454" s="146"/>
      <c r="BK454" s="146"/>
      <c r="BL454" s="146"/>
      <c r="BM454" s="146"/>
      <c r="BN454" s="146"/>
      <c r="BO454" s="146"/>
      <c r="BP454" s="146"/>
      <c r="BQ454" s="146"/>
      <c r="BR454" s="146"/>
      <c r="BS454" s="146"/>
      <c r="BT454" s="146"/>
      <c r="BU454" s="146"/>
    </row>
    <row r="455" spans="15:73"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46"/>
      <c r="BK455" s="146"/>
      <c r="BL455" s="146"/>
      <c r="BM455" s="146"/>
      <c r="BN455" s="146"/>
      <c r="BO455" s="146"/>
      <c r="BP455" s="146"/>
      <c r="BQ455" s="146"/>
      <c r="BR455" s="146"/>
      <c r="BS455" s="146"/>
      <c r="BT455" s="146"/>
      <c r="BU455" s="146"/>
    </row>
    <row r="456" spans="15:73"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146"/>
      <c r="BF456" s="146"/>
      <c r="BG456" s="146"/>
      <c r="BH456" s="146"/>
      <c r="BI456" s="146"/>
      <c r="BJ456" s="146"/>
      <c r="BK456" s="146"/>
      <c r="BL456" s="146"/>
      <c r="BM456" s="146"/>
      <c r="BN456" s="146"/>
      <c r="BO456" s="146"/>
      <c r="BP456" s="146"/>
      <c r="BQ456" s="146"/>
      <c r="BR456" s="146"/>
      <c r="BS456" s="146"/>
      <c r="BT456" s="146"/>
      <c r="BU456" s="146"/>
    </row>
    <row r="457" spans="15:73"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  <c r="BI457" s="146"/>
      <c r="BJ457" s="146"/>
      <c r="BK457" s="146"/>
      <c r="BL457" s="146"/>
      <c r="BM457" s="146"/>
      <c r="BN457" s="146"/>
      <c r="BO457" s="146"/>
      <c r="BP457" s="146"/>
      <c r="BQ457" s="146"/>
      <c r="BR457" s="146"/>
      <c r="BS457" s="146"/>
      <c r="BT457" s="146"/>
      <c r="BU457" s="146"/>
    </row>
    <row r="458" spans="15:73"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46"/>
      <c r="BK458" s="146"/>
      <c r="BL458" s="146"/>
      <c r="BM458" s="146"/>
      <c r="BN458" s="146"/>
      <c r="BO458" s="146"/>
      <c r="BP458" s="146"/>
      <c r="BQ458" s="146"/>
      <c r="BR458" s="146"/>
      <c r="BS458" s="146"/>
      <c r="BT458" s="146"/>
      <c r="BU458" s="146"/>
    </row>
    <row r="459" spans="15:73"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46"/>
      <c r="BN459" s="146"/>
      <c r="BO459" s="146"/>
      <c r="BP459" s="146"/>
      <c r="BQ459" s="146"/>
      <c r="BR459" s="146"/>
      <c r="BS459" s="146"/>
      <c r="BT459" s="146"/>
      <c r="BU459" s="146"/>
    </row>
    <row r="460" spans="15:73"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146"/>
      <c r="BF460" s="146"/>
      <c r="BG460" s="146"/>
      <c r="BH460" s="146"/>
      <c r="BI460" s="146"/>
      <c r="BJ460" s="146"/>
      <c r="BK460" s="146"/>
      <c r="BL460" s="146"/>
      <c r="BM460" s="146"/>
      <c r="BN460" s="146"/>
      <c r="BO460" s="146"/>
      <c r="BP460" s="146"/>
      <c r="BQ460" s="146"/>
      <c r="BR460" s="146"/>
      <c r="BS460" s="146"/>
      <c r="BT460" s="146"/>
      <c r="BU460" s="146"/>
    </row>
    <row r="461" spans="15:73"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46"/>
      <c r="BK461" s="146"/>
      <c r="BL461" s="146"/>
      <c r="BM461" s="146"/>
      <c r="BN461" s="146"/>
      <c r="BO461" s="146"/>
      <c r="BP461" s="146"/>
      <c r="BQ461" s="146"/>
      <c r="BR461" s="146"/>
      <c r="BS461" s="146"/>
      <c r="BT461" s="146"/>
      <c r="BU461" s="146"/>
    </row>
    <row r="462" spans="15:73"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46"/>
      <c r="BK462" s="146"/>
      <c r="BL462" s="146"/>
      <c r="BM462" s="146"/>
      <c r="BN462" s="146"/>
      <c r="BO462" s="146"/>
      <c r="BP462" s="146"/>
      <c r="BQ462" s="146"/>
      <c r="BR462" s="146"/>
      <c r="BS462" s="146"/>
      <c r="BT462" s="146"/>
      <c r="BU462" s="146"/>
    </row>
    <row r="463" spans="15:73"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46"/>
      <c r="BK463" s="146"/>
      <c r="BL463" s="146"/>
      <c r="BM463" s="146"/>
      <c r="BN463" s="146"/>
      <c r="BO463" s="146"/>
      <c r="BP463" s="146"/>
      <c r="BQ463" s="146"/>
      <c r="BR463" s="146"/>
      <c r="BS463" s="146"/>
      <c r="BT463" s="146"/>
      <c r="BU463" s="146"/>
    </row>
    <row r="464" spans="15:73"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146"/>
      <c r="BF464" s="146"/>
      <c r="BG464" s="146"/>
      <c r="BH464" s="146"/>
      <c r="BI464" s="146"/>
      <c r="BJ464" s="146"/>
      <c r="BK464" s="146"/>
      <c r="BL464" s="146"/>
      <c r="BM464" s="146"/>
      <c r="BN464" s="146"/>
      <c r="BO464" s="146"/>
      <c r="BP464" s="146"/>
      <c r="BQ464" s="146"/>
      <c r="BR464" s="146"/>
      <c r="BS464" s="146"/>
      <c r="BT464" s="146"/>
      <c r="BU464" s="146"/>
    </row>
    <row r="465" spans="15:73"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46"/>
      <c r="BK465" s="146"/>
      <c r="BL465" s="146"/>
      <c r="BM465" s="146"/>
      <c r="BN465" s="146"/>
      <c r="BO465" s="146"/>
      <c r="BP465" s="146"/>
      <c r="BQ465" s="146"/>
      <c r="BR465" s="146"/>
      <c r="BS465" s="146"/>
      <c r="BT465" s="146"/>
      <c r="BU465" s="146"/>
    </row>
    <row r="466" spans="15:73"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46"/>
      <c r="BK466" s="146"/>
      <c r="BL466" s="146"/>
      <c r="BM466" s="146"/>
      <c r="BN466" s="146"/>
      <c r="BO466" s="146"/>
      <c r="BP466" s="146"/>
      <c r="BQ466" s="146"/>
      <c r="BR466" s="146"/>
      <c r="BS466" s="146"/>
      <c r="BT466" s="146"/>
      <c r="BU466" s="146"/>
    </row>
    <row r="467" spans="15:73"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6"/>
      <c r="AV467" s="146"/>
      <c r="AW467" s="146"/>
      <c r="AX467" s="146"/>
      <c r="AY467" s="146"/>
      <c r="AZ467" s="146"/>
      <c r="BA467" s="146"/>
      <c r="BB467" s="146"/>
      <c r="BC467" s="146"/>
      <c r="BD467" s="146"/>
      <c r="BE467" s="146"/>
      <c r="BF467" s="146"/>
      <c r="BG467" s="146"/>
      <c r="BH467" s="146"/>
      <c r="BI467" s="146"/>
      <c r="BJ467" s="146"/>
      <c r="BK467" s="146"/>
      <c r="BL467" s="146"/>
      <c r="BM467" s="146"/>
      <c r="BN467" s="146"/>
      <c r="BO467" s="146"/>
      <c r="BP467" s="146"/>
      <c r="BQ467" s="146"/>
      <c r="BR467" s="146"/>
      <c r="BS467" s="146"/>
      <c r="BT467" s="146"/>
      <c r="BU467" s="146"/>
    </row>
    <row r="468" spans="15:73"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46"/>
      <c r="BK468" s="146"/>
      <c r="BL468" s="146"/>
      <c r="BM468" s="146"/>
      <c r="BN468" s="146"/>
      <c r="BO468" s="146"/>
      <c r="BP468" s="146"/>
      <c r="BQ468" s="146"/>
      <c r="BR468" s="146"/>
      <c r="BS468" s="146"/>
      <c r="BT468" s="146"/>
      <c r="BU468" s="146"/>
    </row>
    <row r="469" spans="15:73"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  <c r="BU469" s="146"/>
    </row>
    <row r="470" spans="15:73"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46"/>
      <c r="BK470" s="146"/>
      <c r="BL470" s="146"/>
      <c r="BM470" s="146"/>
      <c r="BN470" s="146"/>
      <c r="BO470" s="146"/>
      <c r="BP470" s="146"/>
      <c r="BQ470" s="146"/>
      <c r="BR470" s="146"/>
      <c r="BS470" s="146"/>
      <c r="BT470" s="146"/>
      <c r="BU470" s="146"/>
    </row>
    <row r="471" spans="15:73"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46"/>
      <c r="BK471" s="146"/>
      <c r="BL471" s="146"/>
      <c r="BM471" s="146"/>
      <c r="BN471" s="146"/>
      <c r="BO471" s="146"/>
      <c r="BP471" s="146"/>
      <c r="BQ471" s="146"/>
      <c r="BR471" s="146"/>
      <c r="BS471" s="146"/>
      <c r="BT471" s="146"/>
      <c r="BU471" s="146"/>
    </row>
    <row r="472" spans="15:73"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146"/>
      <c r="BF472" s="146"/>
      <c r="BG472" s="146"/>
      <c r="BH472" s="146"/>
      <c r="BI472" s="146"/>
      <c r="BJ472" s="146"/>
      <c r="BK472" s="146"/>
      <c r="BL472" s="146"/>
      <c r="BM472" s="146"/>
      <c r="BN472" s="146"/>
      <c r="BO472" s="146"/>
      <c r="BP472" s="146"/>
      <c r="BQ472" s="146"/>
      <c r="BR472" s="146"/>
      <c r="BS472" s="146"/>
      <c r="BT472" s="146"/>
      <c r="BU472" s="146"/>
    </row>
    <row r="473" spans="15:73"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46"/>
      <c r="AT473" s="146"/>
      <c r="AU473" s="146"/>
      <c r="AV473" s="146"/>
      <c r="AW473" s="146"/>
      <c r="AX473" s="146"/>
      <c r="AY473" s="146"/>
      <c r="AZ473" s="146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46"/>
      <c r="BK473" s="146"/>
      <c r="BL473" s="146"/>
      <c r="BM473" s="146"/>
      <c r="BN473" s="146"/>
      <c r="BO473" s="146"/>
      <c r="BP473" s="146"/>
      <c r="BQ473" s="146"/>
      <c r="BR473" s="146"/>
      <c r="BS473" s="146"/>
      <c r="BT473" s="146"/>
      <c r="BU473" s="146"/>
    </row>
    <row r="474" spans="15:73"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6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46"/>
      <c r="BK474" s="146"/>
      <c r="BL474" s="146"/>
      <c r="BM474" s="146"/>
      <c r="BN474" s="146"/>
      <c r="BO474" s="146"/>
      <c r="BP474" s="146"/>
      <c r="BQ474" s="146"/>
      <c r="BR474" s="146"/>
      <c r="BS474" s="146"/>
      <c r="BT474" s="146"/>
      <c r="BU474" s="146"/>
    </row>
    <row r="475" spans="15:73"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46"/>
      <c r="BK475" s="146"/>
      <c r="BL475" s="146"/>
      <c r="BM475" s="146"/>
      <c r="BN475" s="146"/>
      <c r="BO475" s="146"/>
      <c r="BP475" s="146"/>
      <c r="BQ475" s="146"/>
      <c r="BR475" s="146"/>
      <c r="BS475" s="146"/>
      <c r="BT475" s="146"/>
      <c r="BU475" s="146"/>
    </row>
    <row r="476" spans="15:73"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146"/>
      <c r="BF476" s="146"/>
      <c r="BG476" s="146"/>
      <c r="BH476" s="146"/>
      <c r="BI476" s="146"/>
      <c r="BJ476" s="146"/>
      <c r="BK476" s="146"/>
      <c r="BL476" s="146"/>
      <c r="BM476" s="146"/>
      <c r="BN476" s="146"/>
      <c r="BO476" s="146"/>
      <c r="BP476" s="146"/>
      <c r="BQ476" s="146"/>
      <c r="BR476" s="146"/>
      <c r="BS476" s="146"/>
      <c r="BT476" s="146"/>
      <c r="BU476" s="146"/>
    </row>
    <row r="477" spans="15:73"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6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46"/>
      <c r="BK477" s="146"/>
      <c r="BL477" s="146"/>
      <c r="BM477" s="146"/>
      <c r="BN477" s="146"/>
      <c r="BO477" s="146"/>
      <c r="BP477" s="146"/>
      <c r="BQ477" s="146"/>
      <c r="BR477" s="146"/>
      <c r="BS477" s="146"/>
      <c r="BT477" s="146"/>
      <c r="BU477" s="146"/>
    </row>
    <row r="478" spans="15:73"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46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46"/>
      <c r="BK478" s="146"/>
      <c r="BL478" s="146"/>
      <c r="BM478" s="146"/>
      <c r="BN478" s="146"/>
      <c r="BO478" s="146"/>
      <c r="BP478" s="146"/>
      <c r="BQ478" s="146"/>
      <c r="BR478" s="146"/>
      <c r="BS478" s="146"/>
      <c r="BT478" s="146"/>
      <c r="BU478" s="146"/>
    </row>
    <row r="479" spans="15:73"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46"/>
      <c r="BK479" s="146"/>
      <c r="BL479" s="146"/>
      <c r="BM479" s="146"/>
      <c r="BN479" s="146"/>
      <c r="BO479" s="146"/>
      <c r="BP479" s="146"/>
      <c r="BQ479" s="146"/>
      <c r="BR479" s="146"/>
      <c r="BS479" s="146"/>
      <c r="BT479" s="146"/>
      <c r="BU479" s="146"/>
    </row>
    <row r="480" spans="15:73"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46"/>
      <c r="BK480" s="146"/>
      <c r="BL480" s="146"/>
      <c r="BM480" s="146"/>
      <c r="BN480" s="146"/>
      <c r="BO480" s="146"/>
      <c r="BP480" s="146"/>
      <c r="BQ480" s="146"/>
      <c r="BR480" s="146"/>
      <c r="BS480" s="146"/>
      <c r="BT480" s="146"/>
      <c r="BU480" s="146"/>
    </row>
    <row r="481" spans="15:73"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46"/>
      <c r="BB481" s="146"/>
      <c r="BC481" s="146"/>
      <c r="BD481" s="146"/>
      <c r="BE481" s="146"/>
      <c r="BF481" s="146"/>
      <c r="BG481" s="146"/>
      <c r="BH481" s="146"/>
      <c r="BI481" s="146"/>
      <c r="BJ481" s="146"/>
      <c r="BK481" s="146"/>
      <c r="BL481" s="146"/>
      <c r="BM481" s="146"/>
      <c r="BN481" s="146"/>
      <c r="BO481" s="146"/>
      <c r="BP481" s="146"/>
      <c r="BQ481" s="146"/>
      <c r="BR481" s="146"/>
      <c r="BS481" s="146"/>
      <c r="BT481" s="146"/>
      <c r="BU481" s="146"/>
    </row>
    <row r="482" spans="15:73"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46"/>
      <c r="BC482" s="146"/>
      <c r="BD482" s="146"/>
      <c r="BE482" s="146"/>
      <c r="BF482" s="146"/>
      <c r="BG482" s="146"/>
      <c r="BH482" s="146"/>
      <c r="BI482" s="146"/>
      <c r="BJ482" s="146"/>
      <c r="BK482" s="146"/>
      <c r="BL482" s="146"/>
      <c r="BM482" s="146"/>
      <c r="BN482" s="146"/>
      <c r="BO482" s="146"/>
      <c r="BP482" s="146"/>
      <c r="BQ482" s="146"/>
      <c r="BR482" s="146"/>
      <c r="BS482" s="146"/>
      <c r="BT482" s="146"/>
      <c r="BU482" s="146"/>
    </row>
    <row r="483" spans="15:73"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46"/>
      <c r="BK483" s="146"/>
      <c r="BL483" s="146"/>
      <c r="BM483" s="146"/>
      <c r="BN483" s="146"/>
      <c r="BO483" s="146"/>
      <c r="BP483" s="146"/>
      <c r="BQ483" s="146"/>
      <c r="BR483" s="146"/>
      <c r="BS483" s="146"/>
      <c r="BT483" s="146"/>
      <c r="BU483" s="146"/>
    </row>
    <row r="484" spans="15:73"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146"/>
      <c r="BF484" s="146"/>
      <c r="BG484" s="146"/>
      <c r="BH484" s="146"/>
      <c r="BI484" s="146"/>
      <c r="BJ484" s="146"/>
      <c r="BK484" s="146"/>
      <c r="BL484" s="146"/>
      <c r="BM484" s="146"/>
      <c r="BN484" s="146"/>
      <c r="BO484" s="146"/>
      <c r="BP484" s="146"/>
      <c r="BQ484" s="146"/>
      <c r="BR484" s="146"/>
      <c r="BS484" s="146"/>
      <c r="BT484" s="146"/>
      <c r="BU484" s="146"/>
    </row>
    <row r="485" spans="15:73"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46"/>
      <c r="BF485" s="146"/>
      <c r="BG485" s="146"/>
      <c r="BH485" s="146"/>
      <c r="BI485" s="146"/>
      <c r="BJ485" s="146"/>
      <c r="BK485" s="146"/>
      <c r="BL485" s="146"/>
      <c r="BM485" s="146"/>
      <c r="BN485" s="146"/>
      <c r="BO485" s="146"/>
      <c r="BP485" s="146"/>
      <c r="BQ485" s="146"/>
      <c r="BR485" s="146"/>
      <c r="BS485" s="146"/>
      <c r="BT485" s="146"/>
      <c r="BU485" s="146"/>
    </row>
    <row r="486" spans="15:73"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46"/>
      <c r="BK486" s="146"/>
      <c r="BL486" s="146"/>
      <c r="BM486" s="146"/>
      <c r="BN486" s="146"/>
      <c r="BO486" s="146"/>
      <c r="BP486" s="146"/>
      <c r="BQ486" s="146"/>
      <c r="BR486" s="146"/>
      <c r="BS486" s="146"/>
      <c r="BT486" s="146"/>
      <c r="BU486" s="146"/>
    </row>
    <row r="487" spans="15:73"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46"/>
      <c r="BK487" s="146"/>
      <c r="BL487" s="146"/>
      <c r="BM487" s="146"/>
      <c r="BN487" s="146"/>
      <c r="BO487" s="146"/>
      <c r="BP487" s="146"/>
      <c r="BQ487" s="146"/>
      <c r="BR487" s="146"/>
      <c r="BS487" s="146"/>
      <c r="BT487" s="146"/>
      <c r="BU487" s="146"/>
    </row>
    <row r="488" spans="15:73"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46"/>
      <c r="BB488" s="146"/>
      <c r="BC488" s="146"/>
      <c r="BD488" s="146"/>
      <c r="BE488" s="146"/>
      <c r="BF488" s="146"/>
      <c r="BG488" s="146"/>
      <c r="BH488" s="146"/>
      <c r="BI488" s="146"/>
      <c r="BJ488" s="146"/>
      <c r="BK488" s="146"/>
      <c r="BL488" s="146"/>
      <c r="BM488" s="146"/>
      <c r="BN488" s="146"/>
      <c r="BO488" s="146"/>
      <c r="BP488" s="146"/>
      <c r="BQ488" s="146"/>
      <c r="BR488" s="146"/>
      <c r="BS488" s="146"/>
      <c r="BT488" s="146"/>
      <c r="BU488" s="146"/>
    </row>
    <row r="489" spans="15:73"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  <c r="BI489" s="146"/>
      <c r="BJ489" s="146"/>
      <c r="BK489" s="146"/>
      <c r="BL489" s="146"/>
      <c r="BM489" s="146"/>
      <c r="BN489" s="146"/>
      <c r="BO489" s="146"/>
      <c r="BP489" s="146"/>
      <c r="BQ489" s="146"/>
      <c r="BR489" s="146"/>
      <c r="BS489" s="146"/>
      <c r="BT489" s="146"/>
      <c r="BU489" s="146"/>
    </row>
    <row r="490" spans="15:73"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46"/>
      <c r="BK490" s="146"/>
      <c r="BL490" s="146"/>
      <c r="BM490" s="146"/>
      <c r="BN490" s="146"/>
      <c r="BO490" s="146"/>
      <c r="BP490" s="146"/>
      <c r="BQ490" s="146"/>
      <c r="BR490" s="146"/>
      <c r="BS490" s="146"/>
      <c r="BT490" s="146"/>
      <c r="BU490" s="146"/>
    </row>
    <row r="491" spans="15:73"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46"/>
      <c r="BK491" s="146"/>
      <c r="BL491" s="146"/>
      <c r="BM491" s="146"/>
      <c r="BN491" s="146"/>
      <c r="BO491" s="146"/>
      <c r="BP491" s="146"/>
      <c r="BQ491" s="146"/>
      <c r="BR491" s="146"/>
      <c r="BS491" s="146"/>
      <c r="BT491" s="146"/>
      <c r="BU491" s="146"/>
    </row>
    <row r="492" spans="15:73"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146"/>
      <c r="BF492" s="146"/>
      <c r="BG492" s="146"/>
      <c r="BH492" s="146"/>
      <c r="BI492" s="146"/>
      <c r="BJ492" s="146"/>
      <c r="BK492" s="146"/>
      <c r="BL492" s="146"/>
      <c r="BM492" s="146"/>
      <c r="BN492" s="146"/>
      <c r="BO492" s="146"/>
      <c r="BP492" s="146"/>
      <c r="BQ492" s="146"/>
      <c r="BR492" s="146"/>
      <c r="BS492" s="146"/>
      <c r="BT492" s="146"/>
      <c r="BU492" s="146"/>
    </row>
    <row r="493" spans="15:73"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6"/>
      <c r="AU493" s="146"/>
      <c r="AV493" s="146"/>
      <c r="AW493" s="146"/>
      <c r="AX493" s="146"/>
      <c r="AY493" s="146"/>
      <c r="AZ493" s="146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46"/>
      <c r="BK493" s="146"/>
      <c r="BL493" s="146"/>
      <c r="BM493" s="146"/>
      <c r="BN493" s="146"/>
      <c r="BO493" s="146"/>
      <c r="BP493" s="146"/>
      <c r="BQ493" s="146"/>
      <c r="BR493" s="146"/>
      <c r="BS493" s="146"/>
      <c r="BT493" s="146"/>
      <c r="BU493" s="146"/>
    </row>
    <row r="494" spans="15:73"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46"/>
      <c r="BK494" s="146"/>
      <c r="BL494" s="146"/>
      <c r="BM494" s="146"/>
      <c r="BN494" s="146"/>
      <c r="BO494" s="146"/>
      <c r="BP494" s="146"/>
      <c r="BQ494" s="146"/>
      <c r="BR494" s="146"/>
      <c r="BS494" s="146"/>
      <c r="BT494" s="146"/>
      <c r="BU494" s="146"/>
    </row>
    <row r="495" spans="15:73"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46"/>
      <c r="BK495" s="146"/>
      <c r="BL495" s="146"/>
      <c r="BM495" s="146"/>
      <c r="BN495" s="146"/>
      <c r="BO495" s="146"/>
      <c r="BP495" s="146"/>
      <c r="BQ495" s="146"/>
      <c r="BR495" s="146"/>
      <c r="BS495" s="146"/>
      <c r="BT495" s="146"/>
      <c r="BU495" s="146"/>
    </row>
    <row r="496" spans="15:73"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146"/>
      <c r="BF496" s="146"/>
      <c r="BG496" s="146"/>
      <c r="BH496" s="146"/>
      <c r="BI496" s="146"/>
      <c r="BJ496" s="146"/>
      <c r="BK496" s="146"/>
      <c r="BL496" s="146"/>
      <c r="BM496" s="146"/>
      <c r="BN496" s="146"/>
      <c r="BO496" s="146"/>
      <c r="BP496" s="146"/>
      <c r="BQ496" s="146"/>
      <c r="BR496" s="146"/>
      <c r="BS496" s="146"/>
      <c r="BT496" s="146"/>
      <c r="BU496" s="146"/>
    </row>
    <row r="497" spans="15:73"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46"/>
      <c r="BK497" s="146"/>
      <c r="BL497" s="146"/>
      <c r="BM497" s="146"/>
      <c r="BN497" s="146"/>
      <c r="BO497" s="146"/>
      <c r="BP497" s="146"/>
      <c r="BQ497" s="146"/>
      <c r="BR497" s="146"/>
      <c r="BS497" s="146"/>
      <c r="BT497" s="146"/>
      <c r="BU497" s="146"/>
    </row>
    <row r="498" spans="15:73"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46"/>
      <c r="BK498" s="146"/>
      <c r="BL498" s="146"/>
      <c r="BM498" s="146"/>
      <c r="BN498" s="146"/>
      <c r="BO498" s="146"/>
      <c r="BP498" s="146"/>
      <c r="BQ498" s="146"/>
      <c r="BR498" s="146"/>
      <c r="BS498" s="146"/>
      <c r="BT498" s="146"/>
      <c r="BU498" s="146"/>
    </row>
    <row r="499" spans="15:73"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6"/>
      <c r="AU499" s="146"/>
      <c r="AV499" s="146"/>
      <c r="AW499" s="146"/>
      <c r="AX499" s="146"/>
      <c r="AY499" s="146"/>
      <c r="AZ499" s="146"/>
      <c r="BA499" s="146"/>
      <c r="BB499" s="146"/>
      <c r="BC499" s="146"/>
      <c r="BD499" s="146"/>
      <c r="BE499" s="146"/>
      <c r="BF499" s="146"/>
      <c r="BG499" s="146"/>
      <c r="BH499" s="146"/>
      <c r="BI499" s="146"/>
      <c r="BJ499" s="146"/>
      <c r="BK499" s="146"/>
      <c r="BL499" s="146"/>
      <c r="BM499" s="146"/>
      <c r="BN499" s="146"/>
      <c r="BO499" s="146"/>
      <c r="BP499" s="146"/>
      <c r="BQ499" s="146"/>
      <c r="BR499" s="146"/>
      <c r="BS499" s="146"/>
      <c r="BT499" s="146"/>
      <c r="BU499" s="146"/>
    </row>
    <row r="500" spans="15:73"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46"/>
      <c r="BK500" s="146"/>
      <c r="BL500" s="146"/>
      <c r="BM500" s="146"/>
      <c r="BN500" s="146"/>
      <c r="BO500" s="146"/>
      <c r="BP500" s="146"/>
      <c r="BQ500" s="146"/>
      <c r="BR500" s="146"/>
      <c r="BS500" s="146"/>
      <c r="BT500" s="146"/>
      <c r="BU500" s="146"/>
    </row>
    <row r="501" spans="15:73">
      <c r="O501" s="146"/>
      <c r="P501" s="146"/>
      <c r="Q501" s="146"/>
      <c r="R501" s="146"/>
      <c r="S501" s="146"/>
      <c r="T501" s="146"/>
      <c r="U501" s="146"/>
      <c r="V501" s="146"/>
      <c r="W501" s="146"/>
      <c r="X501" s="146"/>
      <c r="Y501" s="146"/>
      <c r="Z501" s="146"/>
      <c r="AA501" s="146"/>
      <c r="AB501" s="146"/>
      <c r="AC501" s="146"/>
      <c r="AD501" s="146"/>
      <c r="AE501" s="146"/>
      <c r="AF501" s="146"/>
      <c r="AG501" s="146"/>
      <c r="AH501" s="146"/>
      <c r="AI501" s="146"/>
      <c r="AJ501" s="146"/>
      <c r="AK501" s="146"/>
      <c r="AL501" s="146"/>
      <c r="AM501" s="146"/>
      <c r="AN501" s="146"/>
      <c r="AO501" s="146"/>
      <c r="AP501" s="146"/>
      <c r="AQ501" s="146"/>
      <c r="AR501" s="146"/>
      <c r="AS501" s="146"/>
      <c r="AT501" s="146"/>
      <c r="AU501" s="146"/>
      <c r="AV501" s="146"/>
      <c r="AW501" s="146"/>
      <c r="AX501" s="146"/>
      <c r="AY501" s="146"/>
      <c r="AZ501" s="146"/>
      <c r="BA501" s="146"/>
      <c r="BB501" s="146"/>
      <c r="BC501" s="146"/>
      <c r="BD501" s="146"/>
      <c r="BE501" s="146"/>
      <c r="BF501" s="146"/>
      <c r="BG501" s="146"/>
      <c r="BH501" s="146"/>
      <c r="BI501" s="146"/>
      <c r="BJ501" s="146"/>
      <c r="BK501" s="146"/>
      <c r="BL501" s="146"/>
      <c r="BM501" s="146"/>
      <c r="BN501" s="146"/>
      <c r="BO501" s="146"/>
      <c r="BP501" s="146"/>
      <c r="BQ501" s="146"/>
      <c r="BR501" s="146"/>
      <c r="BS501" s="146"/>
      <c r="BT501" s="146"/>
      <c r="BU501" s="146"/>
    </row>
    <row r="502" spans="15:73">
      <c r="O502" s="146"/>
      <c r="P502" s="146"/>
      <c r="Q502" s="146"/>
      <c r="R502" s="146"/>
      <c r="S502" s="146"/>
      <c r="T502" s="146"/>
      <c r="U502" s="146"/>
      <c r="V502" s="146"/>
      <c r="W502" s="146"/>
      <c r="X502" s="146"/>
      <c r="Y502" s="146"/>
      <c r="Z502" s="146"/>
      <c r="AA502" s="146"/>
      <c r="AB502" s="146"/>
      <c r="AC502" s="146"/>
      <c r="AD502" s="146"/>
      <c r="AE502" s="146"/>
      <c r="AF502" s="146"/>
      <c r="AG502" s="146"/>
      <c r="AH502" s="146"/>
      <c r="AI502" s="146"/>
      <c r="AJ502" s="146"/>
      <c r="AK502" s="146"/>
      <c r="AL502" s="146"/>
      <c r="AM502" s="146"/>
      <c r="AN502" s="146"/>
      <c r="AO502" s="146"/>
      <c r="AP502" s="146"/>
      <c r="AQ502" s="146"/>
      <c r="AR502" s="146"/>
      <c r="AS502" s="146"/>
      <c r="AT502" s="146"/>
      <c r="AU502" s="146"/>
      <c r="AV502" s="146"/>
      <c r="AW502" s="146"/>
      <c r="AX502" s="146"/>
      <c r="AY502" s="146"/>
      <c r="AZ502" s="146"/>
      <c r="BA502" s="146"/>
      <c r="BB502" s="146"/>
      <c r="BC502" s="146"/>
      <c r="BD502" s="146"/>
      <c r="BE502" s="146"/>
      <c r="BF502" s="146"/>
      <c r="BG502" s="146"/>
      <c r="BH502" s="146"/>
      <c r="BI502" s="146"/>
      <c r="BJ502" s="146"/>
      <c r="BK502" s="146"/>
      <c r="BL502" s="146"/>
      <c r="BM502" s="146"/>
      <c r="BN502" s="146"/>
      <c r="BO502" s="146"/>
      <c r="BP502" s="146"/>
      <c r="BQ502" s="146"/>
      <c r="BR502" s="146"/>
      <c r="BS502" s="146"/>
      <c r="BT502" s="146"/>
      <c r="BU502" s="146"/>
    </row>
    <row r="503" spans="15:73">
      <c r="O503" s="146"/>
      <c r="P503" s="146"/>
      <c r="Q503" s="146"/>
      <c r="R503" s="146"/>
      <c r="S503" s="146"/>
      <c r="T503" s="146"/>
      <c r="U503" s="146"/>
      <c r="V503" s="146"/>
      <c r="W503" s="146"/>
      <c r="X503" s="146"/>
      <c r="Y503" s="146"/>
      <c r="Z503" s="146"/>
      <c r="AA503" s="146"/>
      <c r="AB503" s="146"/>
      <c r="AC503" s="146"/>
      <c r="AD503" s="146"/>
      <c r="AE503" s="146"/>
      <c r="AF503" s="146"/>
      <c r="AG503" s="146"/>
      <c r="AH503" s="146"/>
      <c r="AI503" s="146"/>
      <c r="AJ503" s="146"/>
      <c r="AK503" s="146"/>
      <c r="AL503" s="146"/>
      <c r="AM503" s="146"/>
      <c r="AN503" s="146"/>
      <c r="AO503" s="146"/>
      <c r="AP503" s="146"/>
      <c r="AQ503" s="146"/>
      <c r="AR503" s="146"/>
      <c r="AS503" s="146"/>
      <c r="AT503" s="146"/>
      <c r="AU503" s="146"/>
      <c r="AV503" s="146"/>
      <c r="AW503" s="146"/>
      <c r="AX503" s="146"/>
      <c r="AY503" s="146"/>
      <c r="AZ503" s="146"/>
      <c r="BA503" s="146"/>
      <c r="BB503" s="146"/>
      <c r="BC503" s="146"/>
      <c r="BD503" s="146"/>
      <c r="BE503" s="146"/>
      <c r="BF503" s="146"/>
      <c r="BG503" s="146"/>
      <c r="BH503" s="146"/>
      <c r="BI503" s="146"/>
      <c r="BJ503" s="146"/>
      <c r="BK503" s="146"/>
      <c r="BL503" s="146"/>
      <c r="BM503" s="146"/>
      <c r="BN503" s="146"/>
      <c r="BO503" s="146"/>
      <c r="BP503" s="146"/>
      <c r="BQ503" s="146"/>
      <c r="BR503" s="146"/>
      <c r="BS503" s="146"/>
      <c r="BT503" s="146"/>
      <c r="BU503" s="146"/>
    </row>
    <row r="504" spans="15:73">
      <c r="O504" s="146"/>
      <c r="P504" s="146"/>
      <c r="Q504" s="146"/>
      <c r="R504" s="146"/>
      <c r="S504" s="146"/>
      <c r="T504" s="146"/>
      <c r="U504" s="146"/>
      <c r="V504" s="146"/>
      <c r="W504" s="146"/>
      <c r="X504" s="146"/>
      <c r="Y504" s="146"/>
      <c r="Z504" s="146"/>
      <c r="AA504" s="146"/>
      <c r="AB504" s="146"/>
      <c r="AC504" s="146"/>
      <c r="AD504" s="146"/>
      <c r="AE504" s="146"/>
      <c r="AF504" s="146"/>
      <c r="AG504" s="146"/>
      <c r="AH504" s="146"/>
      <c r="AI504" s="146"/>
      <c r="AJ504" s="146"/>
      <c r="AK504" s="146"/>
      <c r="AL504" s="146"/>
      <c r="AM504" s="146"/>
      <c r="AN504" s="146"/>
      <c r="AO504" s="146"/>
      <c r="AP504" s="146"/>
      <c r="AQ504" s="146"/>
      <c r="AR504" s="146"/>
      <c r="AS504" s="146"/>
      <c r="AT504" s="146"/>
      <c r="AU504" s="146"/>
      <c r="AV504" s="146"/>
      <c r="AW504" s="146"/>
      <c r="AX504" s="146"/>
      <c r="AY504" s="146"/>
      <c r="AZ504" s="146"/>
      <c r="BA504" s="146"/>
      <c r="BB504" s="146"/>
      <c r="BC504" s="146"/>
      <c r="BD504" s="146"/>
      <c r="BE504" s="146"/>
      <c r="BF504" s="146"/>
      <c r="BG504" s="146"/>
      <c r="BH504" s="146"/>
      <c r="BI504" s="146"/>
      <c r="BJ504" s="146"/>
      <c r="BK504" s="146"/>
      <c r="BL504" s="146"/>
      <c r="BM504" s="146"/>
      <c r="BN504" s="146"/>
      <c r="BO504" s="146"/>
      <c r="BP504" s="146"/>
      <c r="BQ504" s="146"/>
      <c r="BR504" s="146"/>
      <c r="BS504" s="146"/>
      <c r="BT504" s="146"/>
      <c r="BU504" s="146"/>
    </row>
    <row r="505" spans="15:73">
      <c r="O505" s="146"/>
      <c r="P505" s="146"/>
      <c r="Q505" s="146"/>
      <c r="R505" s="146"/>
      <c r="S505" s="146"/>
      <c r="T505" s="146"/>
      <c r="U505" s="146"/>
      <c r="V505" s="146"/>
      <c r="W505" s="146"/>
      <c r="X505" s="146"/>
      <c r="Y505" s="146"/>
      <c r="Z505" s="146"/>
      <c r="AA505" s="146"/>
      <c r="AB505" s="146"/>
      <c r="AC505" s="146"/>
      <c r="AD505" s="146"/>
      <c r="AE505" s="146"/>
      <c r="AF505" s="146"/>
      <c r="AG505" s="146"/>
      <c r="AH505" s="146"/>
      <c r="AI505" s="146"/>
      <c r="AJ505" s="146"/>
      <c r="AK505" s="146"/>
      <c r="AL505" s="146"/>
      <c r="AM505" s="146"/>
      <c r="AN505" s="146"/>
      <c r="AO505" s="146"/>
      <c r="AP505" s="146"/>
      <c r="AQ505" s="146"/>
      <c r="AR505" s="146"/>
      <c r="AS505" s="146"/>
      <c r="AT505" s="146"/>
      <c r="AU505" s="146"/>
      <c r="AV505" s="146"/>
      <c r="AW505" s="146"/>
      <c r="AX505" s="146"/>
      <c r="AY505" s="146"/>
      <c r="AZ505" s="146"/>
      <c r="BA505" s="146"/>
      <c r="BB505" s="146"/>
      <c r="BC505" s="146"/>
      <c r="BD505" s="146"/>
      <c r="BE505" s="146"/>
      <c r="BF505" s="146"/>
      <c r="BG505" s="146"/>
      <c r="BH505" s="146"/>
      <c r="BI505" s="146"/>
      <c r="BJ505" s="146"/>
      <c r="BK505" s="146"/>
      <c r="BL505" s="146"/>
      <c r="BM505" s="146"/>
      <c r="BN505" s="146"/>
      <c r="BO505" s="146"/>
      <c r="BP505" s="146"/>
      <c r="BQ505" s="146"/>
      <c r="BR505" s="146"/>
      <c r="BS505" s="146"/>
      <c r="BT505" s="146"/>
      <c r="BU505" s="146"/>
    </row>
    <row r="506" spans="15:73">
      <c r="O506" s="146"/>
      <c r="P506" s="146"/>
      <c r="Q506" s="146"/>
      <c r="R506" s="146"/>
      <c r="S506" s="146"/>
      <c r="T506" s="146"/>
      <c r="U506" s="146"/>
      <c r="V506" s="146"/>
      <c r="W506" s="146"/>
      <c r="X506" s="146"/>
      <c r="Y506" s="146"/>
      <c r="Z506" s="146"/>
      <c r="AA506" s="146"/>
      <c r="AB506" s="146"/>
      <c r="AC506" s="146"/>
      <c r="AD506" s="146"/>
      <c r="AE506" s="146"/>
      <c r="AF506" s="146"/>
      <c r="AG506" s="146"/>
      <c r="AH506" s="146"/>
      <c r="AI506" s="146"/>
      <c r="AJ506" s="146"/>
      <c r="AK506" s="146"/>
      <c r="AL506" s="146"/>
      <c r="AM506" s="146"/>
      <c r="AN506" s="146"/>
      <c r="AO506" s="146"/>
      <c r="AP506" s="146"/>
      <c r="AQ506" s="146"/>
      <c r="AR506" s="146"/>
      <c r="AS506" s="146"/>
      <c r="AT506" s="146"/>
      <c r="AU506" s="146"/>
      <c r="AV506" s="146"/>
      <c r="AW506" s="146"/>
      <c r="AX506" s="146"/>
      <c r="AY506" s="146"/>
      <c r="AZ506" s="146"/>
      <c r="BA506" s="146"/>
      <c r="BB506" s="146"/>
      <c r="BC506" s="146"/>
      <c r="BD506" s="146"/>
      <c r="BE506" s="146"/>
      <c r="BF506" s="146"/>
      <c r="BG506" s="146"/>
      <c r="BH506" s="146"/>
      <c r="BI506" s="146"/>
      <c r="BJ506" s="146"/>
      <c r="BK506" s="146"/>
      <c r="BL506" s="146"/>
      <c r="BM506" s="146"/>
      <c r="BN506" s="146"/>
      <c r="BO506" s="146"/>
      <c r="BP506" s="146"/>
      <c r="BQ506" s="146"/>
      <c r="BR506" s="146"/>
      <c r="BS506" s="146"/>
      <c r="BT506" s="146"/>
      <c r="BU506" s="146"/>
    </row>
    <row r="507" spans="15:73">
      <c r="O507" s="146"/>
      <c r="P507" s="146"/>
      <c r="Q507" s="146"/>
      <c r="R507" s="146"/>
      <c r="S507" s="146"/>
      <c r="T507" s="146"/>
      <c r="U507" s="146"/>
      <c r="V507" s="146"/>
      <c r="W507" s="146"/>
      <c r="X507" s="146"/>
      <c r="Y507" s="146"/>
      <c r="Z507" s="146"/>
      <c r="AA507" s="146"/>
      <c r="AB507" s="146"/>
      <c r="AC507" s="146"/>
      <c r="AD507" s="146"/>
      <c r="AE507" s="146"/>
      <c r="AF507" s="146"/>
      <c r="AG507" s="146"/>
      <c r="AH507" s="146"/>
      <c r="AI507" s="146"/>
      <c r="AJ507" s="146"/>
      <c r="AK507" s="146"/>
      <c r="AL507" s="146"/>
      <c r="AM507" s="146"/>
      <c r="AN507" s="146"/>
      <c r="AO507" s="146"/>
      <c r="AP507" s="146"/>
      <c r="AQ507" s="146"/>
      <c r="AR507" s="146"/>
      <c r="AS507" s="146"/>
      <c r="AT507" s="146"/>
      <c r="AU507" s="146"/>
      <c r="AV507" s="146"/>
      <c r="AW507" s="146"/>
      <c r="AX507" s="146"/>
      <c r="AY507" s="146"/>
      <c r="AZ507" s="146"/>
      <c r="BA507" s="146"/>
      <c r="BB507" s="146"/>
      <c r="BC507" s="146"/>
      <c r="BD507" s="146"/>
      <c r="BE507" s="146"/>
      <c r="BF507" s="146"/>
      <c r="BG507" s="146"/>
      <c r="BH507" s="146"/>
      <c r="BI507" s="146"/>
      <c r="BJ507" s="146"/>
      <c r="BK507" s="146"/>
      <c r="BL507" s="146"/>
      <c r="BM507" s="146"/>
      <c r="BN507" s="146"/>
      <c r="BO507" s="146"/>
      <c r="BP507" s="146"/>
      <c r="BQ507" s="146"/>
      <c r="BR507" s="146"/>
      <c r="BS507" s="146"/>
      <c r="BT507" s="146"/>
      <c r="BU507" s="146"/>
    </row>
    <row r="508" spans="15:73">
      <c r="O508" s="146"/>
      <c r="P508" s="146"/>
      <c r="Q508" s="146"/>
      <c r="R508" s="146"/>
      <c r="S508" s="146"/>
      <c r="T508" s="146"/>
      <c r="U508" s="146"/>
      <c r="V508" s="146"/>
      <c r="W508" s="146"/>
      <c r="X508" s="146"/>
      <c r="Y508" s="146"/>
      <c r="Z508" s="146"/>
      <c r="AA508" s="146"/>
      <c r="AB508" s="146"/>
      <c r="AC508" s="146"/>
      <c r="AD508" s="146"/>
      <c r="AE508" s="146"/>
      <c r="AF508" s="146"/>
      <c r="AG508" s="146"/>
      <c r="AH508" s="146"/>
      <c r="AI508" s="146"/>
      <c r="AJ508" s="146"/>
      <c r="AK508" s="146"/>
      <c r="AL508" s="146"/>
      <c r="AM508" s="146"/>
      <c r="AN508" s="146"/>
      <c r="AO508" s="146"/>
      <c r="AP508" s="146"/>
      <c r="AQ508" s="146"/>
      <c r="AR508" s="146"/>
      <c r="AS508" s="146"/>
      <c r="AT508" s="146"/>
      <c r="AU508" s="146"/>
      <c r="AV508" s="146"/>
      <c r="AW508" s="146"/>
      <c r="AX508" s="146"/>
      <c r="AY508" s="146"/>
      <c r="AZ508" s="146"/>
      <c r="BA508" s="146"/>
      <c r="BB508" s="146"/>
      <c r="BC508" s="146"/>
      <c r="BD508" s="146"/>
      <c r="BE508" s="146"/>
      <c r="BF508" s="146"/>
      <c r="BG508" s="146"/>
      <c r="BH508" s="146"/>
      <c r="BI508" s="146"/>
      <c r="BJ508" s="146"/>
      <c r="BK508" s="146"/>
      <c r="BL508" s="146"/>
      <c r="BM508" s="146"/>
      <c r="BN508" s="146"/>
      <c r="BO508" s="146"/>
      <c r="BP508" s="146"/>
      <c r="BQ508" s="146"/>
      <c r="BR508" s="146"/>
      <c r="BS508" s="146"/>
      <c r="BT508" s="146"/>
      <c r="BU508" s="146"/>
    </row>
    <row r="509" spans="15:73">
      <c r="O509" s="146"/>
      <c r="P509" s="146"/>
      <c r="Q509" s="146"/>
      <c r="R509" s="146"/>
      <c r="S509" s="146"/>
      <c r="T509" s="146"/>
      <c r="U509" s="146"/>
      <c r="V509" s="146"/>
      <c r="W509" s="146"/>
      <c r="X509" s="146"/>
      <c r="Y509" s="146"/>
      <c r="Z509" s="146"/>
      <c r="AA509" s="146"/>
      <c r="AB509" s="146"/>
      <c r="AC509" s="146"/>
      <c r="AD509" s="146"/>
      <c r="AE509" s="146"/>
      <c r="AF509" s="146"/>
      <c r="AG509" s="146"/>
      <c r="AH509" s="146"/>
      <c r="AI509" s="146"/>
      <c r="AJ509" s="146"/>
      <c r="AK509" s="146"/>
      <c r="AL509" s="146"/>
      <c r="AM509" s="146"/>
      <c r="AN509" s="146"/>
      <c r="AO509" s="146"/>
      <c r="AP509" s="146"/>
      <c r="AQ509" s="146"/>
      <c r="AR509" s="146"/>
      <c r="AS509" s="146"/>
      <c r="AT509" s="146"/>
      <c r="AU509" s="146"/>
      <c r="AV509" s="146"/>
      <c r="AW509" s="146"/>
      <c r="AX509" s="146"/>
      <c r="AY509" s="146"/>
      <c r="AZ509" s="146"/>
      <c r="BA509" s="146"/>
      <c r="BB509" s="146"/>
      <c r="BC509" s="146"/>
      <c r="BD509" s="146"/>
      <c r="BE509" s="146"/>
      <c r="BF509" s="146"/>
      <c r="BG509" s="146"/>
      <c r="BH509" s="146"/>
      <c r="BI509" s="146"/>
      <c r="BJ509" s="146"/>
      <c r="BK509" s="146"/>
      <c r="BL509" s="146"/>
      <c r="BM509" s="146"/>
      <c r="BN509" s="146"/>
      <c r="BO509" s="146"/>
      <c r="BP509" s="146"/>
      <c r="BQ509" s="146"/>
      <c r="BR509" s="146"/>
      <c r="BS509" s="146"/>
      <c r="BT509" s="146"/>
      <c r="BU509" s="146"/>
    </row>
    <row r="510" spans="15:73">
      <c r="O510" s="146"/>
      <c r="P510" s="146"/>
      <c r="Q510" s="146"/>
      <c r="R510" s="146"/>
      <c r="S510" s="146"/>
      <c r="T510" s="146"/>
      <c r="U510" s="146"/>
      <c r="V510" s="146"/>
      <c r="W510" s="146"/>
      <c r="X510" s="146"/>
      <c r="Y510" s="146"/>
      <c r="Z510" s="146"/>
      <c r="AA510" s="146"/>
      <c r="AB510" s="146"/>
      <c r="AC510" s="146"/>
      <c r="AD510" s="146"/>
      <c r="AE510" s="146"/>
      <c r="AF510" s="146"/>
      <c r="AG510" s="146"/>
      <c r="AH510" s="146"/>
      <c r="AI510" s="146"/>
      <c r="AJ510" s="146"/>
      <c r="AK510" s="146"/>
      <c r="AL510" s="146"/>
      <c r="AM510" s="146"/>
      <c r="AN510" s="146"/>
      <c r="AO510" s="146"/>
      <c r="AP510" s="146"/>
      <c r="AQ510" s="146"/>
      <c r="AR510" s="146"/>
      <c r="AS510" s="146"/>
      <c r="AT510" s="146"/>
      <c r="AU510" s="146"/>
      <c r="AV510" s="146"/>
      <c r="AW510" s="146"/>
      <c r="AX510" s="146"/>
      <c r="AY510" s="146"/>
      <c r="AZ510" s="146"/>
      <c r="BA510" s="146"/>
      <c r="BB510" s="146"/>
      <c r="BC510" s="146"/>
      <c r="BD510" s="146"/>
      <c r="BE510" s="146"/>
      <c r="BF510" s="146"/>
      <c r="BG510" s="146"/>
      <c r="BH510" s="146"/>
      <c r="BI510" s="146"/>
      <c r="BJ510" s="146"/>
      <c r="BK510" s="146"/>
      <c r="BL510" s="146"/>
      <c r="BM510" s="146"/>
      <c r="BN510" s="146"/>
      <c r="BO510" s="146"/>
      <c r="BP510" s="146"/>
      <c r="BQ510" s="146"/>
      <c r="BR510" s="146"/>
      <c r="BS510" s="146"/>
      <c r="BT510" s="146"/>
      <c r="BU510" s="146"/>
    </row>
    <row r="511" spans="15:73">
      <c r="O511" s="146"/>
      <c r="P511" s="146"/>
      <c r="Q511" s="146"/>
      <c r="R511" s="146"/>
      <c r="S511" s="146"/>
      <c r="T511" s="146"/>
      <c r="U511" s="146"/>
      <c r="V511" s="146"/>
      <c r="W511" s="146"/>
      <c r="X511" s="146"/>
      <c r="Y511" s="146"/>
      <c r="Z511" s="146"/>
      <c r="AA511" s="146"/>
      <c r="AB511" s="146"/>
      <c r="AC511" s="146"/>
      <c r="AD511" s="146"/>
      <c r="AE511" s="146"/>
      <c r="AF511" s="146"/>
      <c r="AG511" s="146"/>
      <c r="AH511" s="146"/>
      <c r="AI511" s="146"/>
      <c r="AJ511" s="146"/>
      <c r="AK511" s="146"/>
      <c r="AL511" s="146"/>
      <c r="AM511" s="146"/>
      <c r="AN511" s="146"/>
      <c r="AO511" s="146"/>
      <c r="AP511" s="146"/>
      <c r="AQ511" s="146"/>
      <c r="AR511" s="146"/>
      <c r="AS511" s="146"/>
      <c r="AT511" s="146"/>
      <c r="AU511" s="146"/>
      <c r="AV511" s="146"/>
      <c r="AW511" s="146"/>
      <c r="AX511" s="146"/>
      <c r="AY511" s="146"/>
      <c r="AZ511" s="146"/>
      <c r="BA511" s="146"/>
      <c r="BB511" s="146"/>
      <c r="BC511" s="146"/>
      <c r="BD511" s="146"/>
      <c r="BE511" s="146"/>
      <c r="BF511" s="146"/>
      <c r="BG511" s="146"/>
      <c r="BH511" s="146"/>
      <c r="BI511" s="146"/>
      <c r="BJ511" s="146"/>
      <c r="BK511" s="146"/>
      <c r="BL511" s="146"/>
      <c r="BM511" s="146"/>
      <c r="BN511" s="146"/>
      <c r="BO511" s="146"/>
      <c r="BP511" s="146"/>
      <c r="BQ511" s="146"/>
      <c r="BR511" s="146"/>
      <c r="BS511" s="146"/>
      <c r="BT511" s="146"/>
      <c r="BU511" s="146"/>
    </row>
    <row r="512" spans="15:73">
      <c r="O512" s="146"/>
      <c r="P512" s="146"/>
      <c r="Q512" s="146"/>
      <c r="R512" s="146"/>
      <c r="S512" s="146"/>
      <c r="T512" s="146"/>
      <c r="U512" s="146"/>
      <c r="V512" s="146"/>
      <c r="W512" s="146"/>
      <c r="X512" s="146"/>
      <c r="Y512" s="146"/>
      <c r="Z512" s="146"/>
      <c r="AA512" s="146"/>
      <c r="AB512" s="146"/>
      <c r="AC512" s="146"/>
      <c r="AD512" s="146"/>
      <c r="AE512" s="146"/>
      <c r="AF512" s="146"/>
      <c r="AG512" s="146"/>
      <c r="AH512" s="146"/>
      <c r="AI512" s="146"/>
      <c r="AJ512" s="146"/>
      <c r="AK512" s="146"/>
      <c r="AL512" s="146"/>
      <c r="AM512" s="146"/>
      <c r="AN512" s="146"/>
      <c r="AO512" s="146"/>
      <c r="AP512" s="146"/>
      <c r="AQ512" s="146"/>
      <c r="AR512" s="146"/>
      <c r="AS512" s="146"/>
      <c r="AT512" s="146"/>
      <c r="AU512" s="146"/>
      <c r="AV512" s="146"/>
      <c r="AW512" s="146"/>
      <c r="AX512" s="146"/>
      <c r="AY512" s="146"/>
      <c r="AZ512" s="146"/>
      <c r="BA512" s="146"/>
      <c r="BB512" s="146"/>
      <c r="BC512" s="146"/>
      <c r="BD512" s="146"/>
      <c r="BE512" s="146"/>
      <c r="BF512" s="146"/>
      <c r="BG512" s="146"/>
      <c r="BH512" s="146"/>
      <c r="BI512" s="146"/>
      <c r="BJ512" s="146"/>
      <c r="BK512" s="146"/>
      <c r="BL512" s="146"/>
      <c r="BM512" s="146"/>
      <c r="BN512" s="146"/>
      <c r="BO512" s="146"/>
      <c r="BP512" s="146"/>
      <c r="BQ512" s="146"/>
      <c r="BR512" s="146"/>
      <c r="BS512" s="146"/>
      <c r="BT512" s="146"/>
      <c r="BU512" s="146"/>
    </row>
    <row r="513" spans="15:73">
      <c r="O513" s="146"/>
      <c r="P513" s="146"/>
      <c r="Q513" s="146"/>
      <c r="R513" s="146"/>
      <c r="S513" s="146"/>
      <c r="T513" s="146"/>
      <c r="U513" s="146"/>
      <c r="V513" s="146"/>
      <c r="W513" s="146"/>
      <c r="X513" s="146"/>
      <c r="Y513" s="146"/>
      <c r="Z513" s="146"/>
      <c r="AA513" s="146"/>
      <c r="AB513" s="146"/>
      <c r="AC513" s="146"/>
      <c r="AD513" s="146"/>
      <c r="AE513" s="146"/>
      <c r="AF513" s="146"/>
      <c r="AG513" s="146"/>
      <c r="AH513" s="146"/>
      <c r="AI513" s="146"/>
      <c r="AJ513" s="146"/>
      <c r="AK513" s="146"/>
      <c r="AL513" s="146"/>
      <c r="AM513" s="146"/>
      <c r="AN513" s="146"/>
      <c r="AO513" s="146"/>
      <c r="AP513" s="146"/>
      <c r="AQ513" s="146"/>
      <c r="AR513" s="146"/>
      <c r="AS513" s="146"/>
      <c r="AT513" s="146"/>
      <c r="AU513" s="146"/>
      <c r="AV513" s="146"/>
      <c r="AW513" s="146"/>
      <c r="AX513" s="146"/>
      <c r="AY513" s="146"/>
      <c r="AZ513" s="146"/>
      <c r="BA513" s="146"/>
      <c r="BB513" s="146"/>
      <c r="BC513" s="146"/>
      <c r="BD513" s="146"/>
      <c r="BE513" s="146"/>
      <c r="BF513" s="146"/>
      <c r="BG513" s="146"/>
      <c r="BH513" s="146"/>
      <c r="BI513" s="146"/>
      <c r="BJ513" s="146"/>
      <c r="BK513" s="146"/>
      <c r="BL513" s="146"/>
      <c r="BM513" s="146"/>
      <c r="BN513" s="146"/>
      <c r="BO513" s="146"/>
      <c r="BP513" s="146"/>
      <c r="BQ513" s="146"/>
      <c r="BR513" s="146"/>
      <c r="BS513" s="146"/>
      <c r="BT513" s="146"/>
      <c r="BU513" s="146"/>
    </row>
    <row r="514" spans="15:73">
      <c r="O514" s="146"/>
      <c r="P514" s="146"/>
      <c r="Q514" s="146"/>
      <c r="R514" s="146"/>
      <c r="S514" s="146"/>
      <c r="T514" s="146"/>
      <c r="U514" s="146"/>
      <c r="V514" s="146"/>
      <c r="W514" s="146"/>
      <c r="X514" s="146"/>
      <c r="Y514" s="146"/>
      <c r="Z514" s="146"/>
      <c r="AA514" s="146"/>
      <c r="AB514" s="146"/>
      <c r="AC514" s="146"/>
      <c r="AD514" s="146"/>
      <c r="AE514" s="146"/>
      <c r="AF514" s="146"/>
      <c r="AG514" s="146"/>
      <c r="AH514" s="146"/>
      <c r="AI514" s="146"/>
      <c r="AJ514" s="146"/>
      <c r="AK514" s="146"/>
      <c r="AL514" s="146"/>
      <c r="AM514" s="146"/>
      <c r="AN514" s="146"/>
      <c r="AO514" s="146"/>
      <c r="AP514" s="146"/>
      <c r="AQ514" s="146"/>
      <c r="AR514" s="146"/>
      <c r="AS514" s="146"/>
      <c r="AT514" s="146"/>
      <c r="AU514" s="146"/>
      <c r="AV514" s="146"/>
      <c r="AW514" s="146"/>
      <c r="AX514" s="146"/>
      <c r="AY514" s="146"/>
      <c r="AZ514" s="146"/>
      <c r="BA514" s="146"/>
      <c r="BB514" s="146"/>
      <c r="BC514" s="146"/>
      <c r="BD514" s="146"/>
      <c r="BE514" s="146"/>
      <c r="BF514" s="146"/>
      <c r="BG514" s="146"/>
      <c r="BH514" s="146"/>
      <c r="BI514" s="146"/>
      <c r="BJ514" s="146"/>
      <c r="BK514" s="146"/>
      <c r="BL514" s="146"/>
      <c r="BM514" s="146"/>
      <c r="BN514" s="146"/>
      <c r="BO514" s="146"/>
      <c r="BP514" s="146"/>
      <c r="BQ514" s="146"/>
      <c r="BR514" s="146"/>
      <c r="BS514" s="146"/>
      <c r="BT514" s="146"/>
      <c r="BU514" s="146"/>
    </row>
    <row r="515" spans="15:73">
      <c r="O515" s="146"/>
      <c r="P515" s="146"/>
      <c r="Q515" s="146"/>
      <c r="R515" s="146"/>
      <c r="S515" s="146"/>
      <c r="T515" s="146"/>
      <c r="U515" s="146"/>
      <c r="V515" s="146"/>
      <c r="W515" s="146"/>
      <c r="X515" s="146"/>
      <c r="Y515" s="146"/>
      <c r="Z515" s="146"/>
      <c r="AA515" s="146"/>
      <c r="AB515" s="146"/>
      <c r="AC515" s="146"/>
      <c r="AD515" s="146"/>
      <c r="AE515" s="146"/>
      <c r="AF515" s="146"/>
      <c r="AG515" s="146"/>
      <c r="AH515" s="146"/>
      <c r="AI515" s="146"/>
      <c r="AJ515" s="146"/>
      <c r="AK515" s="146"/>
      <c r="AL515" s="146"/>
      <c r="AM515" s="146"/>
      <c r="AN515" s="146"/>
      <c r="AO515" s="146"/>
      <c r="AP515" s="146"/>
      <c r="AQ515" s="146"/>
      <c r="AR515" s="146"/>
      <c r="AS515" s="146"/>
      <c r="AT515" s="146"/>
      <c r="AU515" s="146"/>
      <c r="AV515" s="146"/>
      <c r="AW515" s="146"/>
      <c r="AX515" s="146"/>
      <c r="AY515" s="146"/>
      <c r="AZ515" s="146"/>
      <c r="BA515" s="146"/>
      <c r="BB515" s="146"/>
      <c r="BC515" s="146"/>
      <c r="BD515" s="146"/>
      <c r="BE515" s="146"/>
      <c r="BF515" s="146"/>
      <c r="BG515" s="146"/>
      <c r="BH515" s="146"/>
      <c r="BI515" s="146"/>
      <c r="BJ515" s="146"/>
      <c r="BK515" s="146"/>
      <c r="BL515" s="146"/>
      <c r="BM515" s="146"/>
      <c r="BN515" s="146"/>
      <c r="BO515" s="146"/>
      <c r="BP515" s="146"/>
      <c r="BQ515" s="146"/>
      <c r="BR515" s="146"/>
      <c r="BS515" s="146"/>
      <c r="BT515" s="146"/>
      <c r="BU515" s="146"/>
    </row>
    <row r="516" spans="15:73">
      <c r="O516" s="146"/>
      <c r="P516" s="146"/>
      <c r="Q516" s="146"/>
      <c r="R516" s="146"/>
      <c r="S516" s="146"/>
      <c r="T516" s="146"/>
      <c r="U516" s="146"/>
      <c r="V516" s="146"/>
      <c r="W516" s="146"/>
      <c r="X516" s="146"/>
      <c r="Y516" s="146"/>
      <c r="Z516" s="146"/>
      <c r="AA516" s="146"/>
      <c r="AB516" s="146"/>
      <c r="AC516" s="146"/>
      <c r="AD516" s="146"/>
      <c r="AE516" s="146"/>
      <c r="AF516" s="146"/>
      <c r="AG516" s="146"/>
      <c r="AH516" s="146"/>
      <c r="AI516" s="146"/>
      <c r="AJ516" s="146"/>
      <c r="AK516" s="146"/>
      <c r="AL516" s="146"/>
      <c r="AM516" s="146"/>
      <c r="AN516" s="146"/>
      <c r="AO516" s="146"/>
      <c r="AP516" s="146"/>
      <c r="AQ516" s="146"/>
      <c r="AR516" s="146"/>
      <c r="AS516" s="146"/>
      <c r="AT516" s="146"/>
      <c r="AU516" s="146"/>
      <c r="AV516" s="146"/>
      <c r="AW516" s="146"/>
      <c r="AX516" s="146"/>
      <c r="AY516" s="146"/>
      <c r="AZ516" s="146"/>
      <c r="BA516" s="146"/>
      <c r="BB516" s="146"/>
      <c r="BC516" s="146"/>
      <c r="BD516" s="146"/>
      <c r="BE516" s="146"/>
      <c r="BF516" s="146"/>
      <c r="BG516" s="146"/>
      <c r="BH516" s="146"/>
      <c r="BI516" s="146"/>
      <c r="BJ516" s="146"/>
      <c r="BK516" s="146"/>
      <c r="BL516" s="146"/>
      <c r="BM516" s="146"/>
      <c r="BN516" s="146"/>
      <c r="BO516" s="146"/>
      <c r="BP516" s="146"/>
      <c r="BQ516" s="146"/>
      <c r="BR516" s="146"/>
      <c r="BS516" s="146"/>
      <c r="BT516" s="146"/>
      <c r="BU516" s="146"/>
    </row>
    <row r="517" spans="15:73">
      <c r="O517" s="146"/>
      <c r="P517" s="146"/>
      <c r="Q517" s="146"/>
      <c r="R517" s="146"/>
      <c r="S517" s="146"/>
      <c r="T517" s="146"/>
      <c r="U517" s="146"/>
      <c r="V517" s="146"/>
      <c r="W517" s="146"/>
      <c r="X517" s="146"/>
      <c r="Y517" s="146"/>
      <c r="Z517" s="146"/>
      <c r="AA517" s="146"/>
      <c r="AB517" s="146"/>
      <c r="AC517" s="146"/>
      <c r="AD517" s="146"/>
      <c r="AE517" s="146"/>
      <c r="AF517" s="146"/>
      <c r="AG517" s="146"/>
      <c r="AH517" s="146"/>
      <c r="AI517" s="146"/>
      <c r="AJ517" s="146"/>
      <c r="AK517" s="146"/>
      <c r="AL517" s="146"/>
      <c r="AM517" s="146"/>
      <c r="AN517" s="146"/>
      <c r="AO517" s="146"/>
      <c r="AP517" s="146"/>
      <c r="AQ517" s="146"/>
      <c r="AR517" s="146"/>
      <c r="AS517" s="146"/>
      <c r="AT517" s="146"/>
      <c r="AU517" s="146"/>
      <c r="AV517" s="146"/>
      <c r="AW517" s="146"/>
      <c r="AX517" s="146"/>
      <c r="AY517" s="146"/>
      <c r="AZ517" s="146"/>
      <c r="BA517" s="146"/>
      <c r="BB517" s="146"/>
      <c r="BC517" s="146"/>
      <c r="BD517" s="146"/>
      <c r="BE517" s="146"/>
      <c r="BF517" s="146"/>
      <c r="BG517" s="146"/>
      <c r="BH517" s="146"/>
      <c r="BI517" s="146"/>
      <c r="BJ517" s="146"/>
      <c r="BK517" s="146"/>
      <c r="BL517" s="146"/>
      <c r="BM517" s="146"/>
      <c r="BN517" s="146"/>
      <c r="BO517" s="146"/>
      <c r="BP517" s="146"/>
      <c r="BQ517" s="146"/>
      <c r="BR517" s="146"/>
      <c r="BS517" s="146"/>
      <c r="BT517" s="146"/>
      <c r="BU517" s="146"/>
    </row>
    <row r="518" spans="15:73">
      <c r="O518" s="146"/>
      <c r="P518" s="146"/>
      <c r="Q518" s="146"/>
      <c r="R518" s="146"/>
      <c r="S518" s="146"/>
      <c r="T518" s="146"/>
      <c r="U518" s="146"/>
      <c r="V518" s="146"/>
      <c r="W518" s="146"/>
      <c r="X518" s="146"/>
      <c r="Y518" s="146"/>
      <c r="Z518" s="146"/>
      <c r="AA518" s="146"/>
      <c r="AB518" s="146"/>
      <c r="AC518" s="146"/>
      <c r="AD518" s="146"/>
      <c r="AE518" s="146"/>
      <c r="AF518" s="146"/>
      <c r="AG518" s="146"/>
      <c r="AH518" s="146"/>
      <c r="AI518" s="146"/>
      <c r="AJ518" s="146"/>
      <c r="AK518" s="146"/>
      <c r="AL518" s="146"/>
      <c r="AM518" s="146"/>
      <c r="AN518" s="146"/>
      <c r="AO518" s="146"/>
      <c r="AP518" s="146"/>
      <c r="AQ518" s="146"/>
      <c r="AR518" s="146"/>
      <c r="AS518" s="146"/>
      <c r="AT518" s="146"/>
      <c r="AU518" s="146"/>
      <c r="AV518" s="146"/>
      <c r="AW518" s="146"/>
      <c r="AX518" s="146"/>
      <c r="AY518" s="146"/>
      <c r="AZ518" s="146"/>
      <c r="BA518" s="146"/>
      <c r="BB518" s="146"/>
      <c r="BC518" s="146"/>
      <c r="BD518" s="146"/>
      <c r="BE518" s="146"/>
      <c r="BF518" s="146"/>
      <c r="BG518" s="146"/>
      <c r="BH518" s="146"/>
      <c r="BI518" s="146"/>
      <c r="BJ518" s="146"/>
      <c r="BK518" s="146"/>
      <c r="BL518" s="146"/>
      <c r="BM518" s="146"/>
      <c r="BN518" s="146"/>
      <c r="BO518" s="146"/>
      <c r="BP518" s="146"/>
      <c r="BQ518" s="146"/>
      <c r="BR518" s="146"/>
      <c r="BS518" s="146"/>
      <c r="BT518" s="146"/>
      <c r="BU518" s="146"/>
    </row>
    <row r="519" spans="15:73">
      <c r="O519" s="146"/>
      <c r="P519" s="146"/>
      <c r="Q519" s="146"/>
      <c r="R519" s="146"/>
      <c r="S519" s="146"/>
      <c r="T519" s="146"/>
      <c r="U519" s="146"/>
      <c r="V519" s="146"/>
      <c r="W519" s="146"/>
      <c r="X519" s="146"/>
      <c r="Y519" s="146"/>
      <c r="Z519" s="146"/>
      <c r="AA519" s="146"/>
      <c r="AB519" s="146"/>
      <c r="AC519" s="146"/>
      <c r="AD519" s="146"/>
      <c r="AE519" s="146"/>
      <c r="AF519" s="146"/>
      <c r="AG519" s="146"/>
      <c r="AH519" s="146"/>
      <c r="AI519" s="146"/>
      <c r="AJ519" s="146"/>
      <c r="AK519" s="146"/>
      <c r="AL519" s="146"/>
      <c r="AM519" s="146"/>
      <c r="AN519" s="146"/>
      <c r="AO519" s="146"/>
      <c r="AP519" s="146"/>
      <c r="AQ519" s="146"/>
      <c r="AR519" s="146"/>
      <c r="AS519" s="146"/>
      <c r="AT519" s="146"/>
      <c r="AU519" s="146"/>
      <c r="AV519" s="146"/>
      <c r="AW519" s="146"/>
      <c r="AX519" s="146"/>
      <c r="AY519" s="146"/>
      <c r="AZ519" s="146"/>
      <c r="BA519" s="146"/>
      <c r="BB519" s="146"/>
      <c r="BC519" s="146"/>
      <c r="BD519" s="146"/>
      <c r="BE519" s="146"/>
      <c r="BF519" s="146"/>
      <c r="BG519" s="146"/>
      <c r="BH519" s="146"/>
      <c r="BI519" s="146"/>
      <c r="BJ519" s="146"/>
      <c r="BK519" s="146"/>
      <c r="BL519" s="146"/>
      <c r="BM519" s="146"/>
      <c r="BN519" s="146"/>
      <c r="BO519" s="146"/>
      <c r="BP519" s="146"/>
      <c r="BQ519" s="146"/>
      <c r="BR519" s="146"/>
      <c r="BS519" s="146"/>
      <c r="BT519" s="146"/>
      <c r="BU519" s="146"/>
    </row>
    <row r="520" spans="15:73">
      <c r="O520" s="146"/>
      <c r="P520" s="146"/>
      <c r="Q520" s="146"/>
      <c r="R520" s="146"/>
      <c r="S520" s="146"/>
      <c r="T520" s="146"/>
      <c r="U520" s="146"/>
      <c r="V520" s="146"/>
      <c r="W520" s="146"/>
      <c r="X520" s="146"/>
      <c r="Y520" s="146"/>
      <c r="Z520" s="146"/>
      <c r="AA520" s="146"/>
      <c r="AB520" s="146"/>
      <c r="AC520" s="146"/>
      <c r="AD520" s="146"/>
      <c r="AE520" s="146"/>
      <c r="AF520" s="146"/>
      <c r="AG520" s="146"/>
      <c r="AH520" s="146"/>
      <c r="AI520" s="146"/>
      <c r="AJ520" s="146"/>
      <c r="AK520" s="146"/>
      <c r="AL520" s="146"/>
      <c r="AM520" s="146"/>
      <c r="AN520" s="146"/>
      <c r="AO520" s="146"/>
      <c r="AP520" s="146"/>
      <c r="AQ520" s="146"/>
      <c r="AR520" s="146"/>
      <c r="AS520" s="146"/>
      <c r="AT520" s="146"/>
      <c r="AU520" s="146"/>
      <c r="AV520" s="146"/>
      <c r="AW520" s="146"/>
      <c r="AX520" s="146"/>
      <c r="AY520" s="146"/>
      <c r="AZ520" s="146"/>
      <c r="BA520" s="146"/>
      <c r="BB520" s="146"/>
      <c r="BC520" s="146"/>
      <c r="BD520" s="146"/>
      <c r="BE520" s="146"/>
      <c r="BF520" s="146"/>
      <c r="BG520" s="146"/>
      <c r="BH520" s="146"/>
      <c r="BI520" s="146"/>
      <c r="BJ520" s="146"/>
      <c r="BK520" s="146"/>
      <c r="BL520" s="146"/>
      <c r="BM520" s="146"/>
      <c r="BN520" s="146"/>
      <c r="BO520" s="146"/>
      <c r="BP520" s="146"/>
      <c r="BQ520" s="146"/>
      <c r="BR520" s="146"/>
      <c r="BS520" s="146"/>
      <c r="BT520" s="146"/>
      <c r="BU520" s="146"/>
    </row>
    <row r="521" spans="15:73">
      <c r="O521" s="146"/>
      <c r="P521" s="146"/>
      <c r="Q521" s="146"/>
      <c r="R521" s="146"/>
      <c r="S521" s="146"/>
      <c r="T521" s="146"/>
      <c r="U521" s="146"/>
      <c r="V521" s="146"/>
      <c r="W521" s="146"/>
      <c r="X521" s="146"/>
      <c r="Y521" s="146"/>
      <c r="Z521" s="146"/>
      <c r="AA521" s="146"/>
      <c r="AB521" s="146"/>
      <c r="AC521" s="146"/>
      <c r="AD521" s="146"/>
      <c r="AE521" s="146"/>
      <c r="AF521" s="146"/>
      <c r="AG521" s="146"/>
      <c r="AH521" s="146"/>
      <c r="AI521" s="146"/>
      <c r="AJ521" s="146"/>
      <c r="AK521" s="146"/>
      <c r="AL521" s="146"/>
      <c r="AM521" s="146"/>
      <c r="AN521" s="146"/>
      <c r="AO521" s="146"/>
      <c r="AP521" s="146"/>
      <c r="AQ521" s="146"/>
      <c r="AR521" s="146"/>
      <c r="AS521" s="146"/>
      <c r="AT521" s="146"/>
      <c r="AU521" s="146"/>
      <c r="AV521" s="146"/>
      <c r="AW521" s="146"/>
      <c r="AX521" s="146"/>
      <c r="AY521" s="146"/>
      <c r="AZ521" s="146"/>
      <c r="BA521" s="146"/>
      <c r="BB521" s="146"/>
      <c r="BC521" s="146"/>
      <c r="BD521" s="146"/>
      <c r="BE521" s="146"/>
      <c r="BF521" s="146"/>
      <c r="BG521" s="146"/>
      <c r="BH521" s="146"/>
      <c r="BI521" s="146"/>
      <c r="BJ521" s="146"/>
      <c r="BK521" s="146"/>
      <c r="BL521" s="146"/>
      <c r="BM521" s="146"/>
      <c r="BN521" s="146"/>
      <c r="BO521" s="146"/>
      <c r="BP521" s="146"/>
      <c r="BQ521" s="146"/>
      <c r="BR521" s="146"/>
      <c r="BS521" s="146"/>
      <c r="BT521" s="146"/>
      <c r="BU521" s="146"/>
    </row>
    <row r="522" spans="15:73">
      <c r="O522" s="146"/>
      <c r="P522" s="146"/>
      <c r="Q522" s="146"/>
      <c r="R522" s="146"/>
      <c r="S522" s="146"/>
      <c r="T522" s="146"/>
      <c r="U522" s="146"/>
      <c r="V522" s="146"/>
      <c r="W522" s="146"/>
      <c r="X522" s="146"/>
      <c r="Y522" s="146"/>
      <c r="Z522" s="146"/>
      <c r="AA522" s="146"/>
      <c r="AB522" s="146"/>
      <c r="AC522" s="146"/>
      <c r="AD522" s="146"/>
      <c r="AE522" s="146"/>
      <c r="AF522" s="146"/>
      <c r="AG522" s="146"/>
      <c r="AH522" s="146"/>
      <c r="AI522" s="146"/>
      <c r="AJ522" s="146"/>
      <c r="AK522" s="146"/>
      <c r="AL522" s="146"/>
      <c r="AM522" s="146"/>
      <c r="AN522" s="146"/>
      <c r="AO522" s="146"/>
      <c r="AP522" s="146"/>
      <c r="AQ522" s="146"/>
      <c r="AR522" s="146"/>
      <c r="AS522" s="146"/>
      <c r="AT522" s="146"/>
      <c r="AU522" s="146"/>
      <c r="AV522" s="146"/>
      <c r="AW522" s="146"/>
      <c r="AX522" s="146"/>
      <c r="AY522" s="146"/>
      <c r="AZ522" s="146"/>
      <c r="BA522" s="146"/>
      <c r="BB522" s="146"/>
      <c r="BC522" s="146"/>
      <c r="BD522" s="146"/>
      <c r="BE522" s="146"/>
      <c r="BF522" s="146"/>
      <c r="BG522" s="146"/>
      <c r="BH522" s="146"/>
      <c r="BI522" s="146"/>
      <c r="BJ522" s="146"/>
      <c r="BK522" s="146"/>
      <c r="BL522" s="146"/>
      <c r="BM522" s="146"/>
      <c r="BN522" s="146"/>
      <c r="BO522" s="146"/>
      <c r="BP522" s="146"/>
      <c r="BQ522" s="146"/>
      <c r="BR522" s="146"/>
      <c r="BS522" s="146"/>
      <c r="BT522" s="146"/>
      <c r="BU522" s="146"/>
    </row>
    <row r="523" spans="15:73">
      <c r="O523" s="146"/>
      <c r="P523" s="146"/>
      <c r="Q523" s="146"/>
      <c r="R523" s="146"/>
      <c r="S523" s="146"/>
      <c r="T523" s="146"/>
      <c r="U523" s="146"/>
      <c r="V523" s="146"/>
      <c r="W523" s="146"/>
      <c r="X523" s="146"/>
      <c r="Y523" s="146"/>
      <c r="Z523" s="146"/>
      <c r="AA523" s="146"/>
      <c r="AB523" s="146"/>
      <c r="AC523" s="146"/>
      <c r="AD523" s="146"/>
      <c r="AE523" s="146"/>
      <c r="AF523" s="146"/>
      <c r="AG523" s="146"/>
      <c r="AH523" s="146"/>
      <c r="AI523" s="146"/>
      <c r="AJ523" s="146"/>
      <c r="AK523" s="146"/>
      <c r="AL523" s="146"/>
      <c r="AM523" s="146"/>
      <c r="AN523" s="146"/>
      <c r="AO523" s="146"/>
      <c r="AP523" s="146"/>
      <c r="AQ523" s="146"/>
      <c r="AR523" s="146"/>
      <c r="AS523" s="146"/>
      <c r="AT523" s="146"/>
      <c r="AU523" s="146"/>
      <c r="AV523" s="146"/>
      <c r="AW523" s="146"/>
      <c r="AX523" s="146"/>
      <c r="AY523" s="146"/>
      <c r="AZ523" s="146"/>
      <c r="BA523" s="146"/>
      <c r="BB523" s="146"/>
      <c r="BC523" s="146"/>
      <c r="BD523" s="146"/>
      <c r="BE523" s="146"/>
      <c r="BF523" s="146"/>
      <c r="BG523" s="146"/>
      <c r="BH523" s="146"/>
      <c r="BI523" s="146"/>
      <c r="BJ523" s="146"/>
      <c r="BK523" s="146"/>
      <c r="BL523" s="146"/>
      <c r="BM523" s="146"/>
      <c r="BN523" s="146"/>
      <c r="BO523" s="146"/>
      <c r="BP523" s="146"/>
      <c r="BQ523" s="146"/>
      <c r="BR523" s="146"/>
      <c r="BS523" s="146"/>
      <c r="BT523" s="146"/>
      <c r="BU523" s="146"/>
    </row>
    <row r="524" spans="15:73">
      <c r="O524" s="146"/>
      <c r="P524" s="146"/>
      <c r="Q524" s="146"/>
      <c r="R524" s="146"/>
      <c r="S524" s="146"/>
      <c r="T524" s="146"/>
      <c r="U524" s="146"/>
      <c r="V524" s="146"/>
      <c r="W524" s="146"/>
      <c r="X524" s="146"/>
      <c r="Y524" s="146"/>
      <c r="Z524" s="146"/>
      <c r="AA524" s="146"/>
      <c r="AB524" s="146"/>
      <c r="AC524" s="146"/>
      <c r="AD524" s="146"/>
      <c r="AE524" s="146"/>
      <c r="AF524" s="146"/>
      <c r="AG524" s="146"/>
      <c r="AH524" s="146"/>
      <c r="AI524" s="146"/>
      <c r="AJ524" s="146"/>
      <c r="AK524" s="146"/>
      <c r="AL524" s="146"/>
      <c r="AM524" s="146"/>
      <c r="AN524" s="146"/>
      <c r="AO524" s="146"/>
      <c r="AP524" s="146"/>
      <c r="AQ524" s="146"/>
      <c r="AR524" s="146"/>
      <c r="AS524" s="146"/>
      <c r="AT524" s="146"/>
      <c r="AU524" s="146"/>
      <c r="AV524" s="146"/>
      <c r="AW524" s="146"/>
      <c r="AX524" s="146"/>
      <c r="AY524" s="146"/>
      <c r="AZ524" s="146"/>
      <c r="BA524" s="146"/>
      <c r="BB524" s="146"/>
      <c r="BC524" s="146"/>
      <c r="BD524" s="146"/>
      <c r="BE524" s="146"/>
      <c r="BF524" s="146"/>
      <c r="BG524" s="146"/>
      <c r="BH524" s="146"/>
      <c r="BI524" s="146"/>
      <c r="BJ524" s="146"/>
      <c r="BK524" s="146"/>
      <c r="BL524" s="146"/>
      <c r="BM524" s="146"/>
      <c r="BN524" s="146"/>
      <c r="BO524" s="146"/>
      <c r="BP524" s="146"/>
      <c r="BQ524" s="146"/>
      <c r="BR524" s="146"/>
      <c r="BS524" s="146"/>
      <c r="BT524" s="146"/>
      <c r="BU524" s="146"/>
    </row>
    <row r="525" spans="15:73">
      <c r="O525" s="146"/>
      <c r="P525" s="146"/>
      <c r="Q525" s="146"/>
      <c r="R525" s="146"/>
      <c r="S525" s="146"/>
      <c r="T525" s="146"/>
      <c r="U525" s="146"/>
      <c r="V525" s="146"/>
      <c r="W525" s="146"/>
      <c r="X525" s="146"/>
      <c r="Y525" s="146"/>
      <c r="Z525" s="146"/>
      <c r="AA525" s="146"/>
      <c r="AB525" s="146"/>
      <c r="AC525" s="146"/>
      <c r="AD525" s="146"/>
      <c r="AE525" s="146"/>
      <c r="AF525" s="146"/>
      <c r="AG525" s="146"/>
      <c r="AH525" s="146"/>
      <c r="AI525" s="146"/>
      <c r="AJ525" s="146"/>
      <c r="AK525" s="146"/>
      <c r="AL525" s="146"/>
      <c r="AM525" s="146"/>
      <c r="AN525" s="146"/>
      <c r="AO525" s="146"/>
      <c r="AP525" s="146"/>
      <c r="AQ525" s="146"/>
      <c r="AR525" s="146"/>
      <c r="AS525" s="146"/>
      <c r="AT525" s="146"/>
      <c r="AU525" s="146"/>
      <c r="AV525" s="146"/>
      <c r="AW525" s="146"/>
      <c r="AX525" s="146"/>
      <c r="AY525" s="146"/>
      <c r="AZ525" s="146"/>
      <c r="BA525" s="146"/>
      <c r="BB525" s="146"/>
      <c r="BC525" s="146"/>
      <c r="BD525" s="146"/>
      <c r="BE525" s="146"/>
      <c r="BF525" s="146"/>
      <c r="BG525" s="146"/>
      <c r="BH525" s="146"/>
      <c r="BI525" s="146"/>
      <c r="BJ525" s="146"/>
      <c r="BK525" s="146"/>
      <c r="BL525" s="146"/>
      <c r="BM525" s="146"/>
      <c r="BN525" s="146"/>
      <c r="BO525" s="146"/>
      <c r="BP525" s="146"/>
      <c r="BQ525" s="146"/>
      <c r="BR525" s="146"/>
      <c r="BS525" s="146"/>
      <c r="BT525" s="146"/>
      <c r="BU525" s="146"/>
    </row>
    <row r="526" spans="15:73">
      <c r="O526" s="146"/>
      <c r="P526" s="146"/>
      <c r="Q526" s="146"/>
      <c r="R526" s="146"/>
      <c r="S526" s="146"/>
      <c r="T526" s="146"/>
      <c r="U526" s="146"/>
      <c r="V526" s="146"/>
      <c r="W526" s="146"/>
      <c r="X526" s="146"/>
      <c r="Y526" s="146"/>
      <c r="Z526" s="146"/>
      <c r="AA526" s="146"/>
      <c r="AB526" s="146"/>
      <c r="AC526" s="146"/>
      <c r="AD526" s="146"/>
      <c r="AE526" s="146"/>
      <c r="AF526" s="146"/>
      <c r="AG526" s="146"/>
      <c r="AH526" s="146"/>
      <c r="AI526" s="146"/>
      <c r="AJ526" s="146"/>
      <c r="AK526" s="146"/>
      <c r="AL526" s="146"/>
      <c r="AM526" s="146"/>
      <c r="AN526" s="146"/>
      <c r="AO526" s="146"/>
      <c r="AP526" s="146"/>
      <c r="AQ526" s="146"/>
      <c r="AR526" s="146"/>
      <c r="AS526" s="146"/>
      <c r="AT526" s="146"/>
      <c r="AU526" s="146"/>
      <c r="AV526" s="146"/>
      <c r="AW526" s="146"/>
      <c r="AX526" s="146"/>
      <c r="AY526" s="146"/>
      <c r="AZ526" s="146"/>
      <c r="BA526" s="146"/>
      <c r="BB526" s="146"/>
      <c r="BC526" s="146"/>
      <c r="BD526" s="146"/>
      <c r="BE526" s="146"/>
      <c r="BF526" s="146"/>
      <c r="BG526" s="146"/>
      <c r="BH526" s="146"/>
      <c r="BI526" s="146"/>
      <c r="BJ526" s="146"/>
      <c r="BK526" s="146"/>
      <c r="BL526" s="146"/>
      <c r="BM526" s="146"/>
      <c r="BN526" s="146"/>
      <c r="BO526" s="146"/>
      <c r="BP526" s="146"/>
      <c r="BQ526" s="146"/>
      <c r="BR526" s="146"/>
      <c r="BS526" s="146"/>
      <c r="BT526" s="146"/>
      <c r="BU526" s="146"/>
    </row>
    <row r="527" spans="15:73">
      <c r="O527" s="146"/>
      <c r="P527" s="146"/>
      <c r="Q527" s="146"/>
      <c r="R527" s="146"/>
      <c r="S527" s="146"/>
      <c r="T527" s="146"/>
      <c r="U527" s="146"/>
      <c r="V527" s="146"/>
      <c r="W527" s="146"/>
      <c r="X527" s="146"/>
      <c r="Y527" s="146"/>
      <c r="Z527" s="146"/>
      <c r="AA527" s="146"/>
      <c r="AB527" s="146"/>
      <c r="AC527" s="146"/>
      <c r="AD527" s="146"/>
      <c r="AE527" s="146"/>
      <c r="AF527" s="146"/>
      <c r="AG527" s="146"/>
      <c r="AH527" s="146"/>
      <c r="AI527" s="146"/>
      <c r="AJ527" s="146"/>
      <c r="AK527" s="146"/>
      <c r="AL527" s="146"/>
      <c r="AM527" s="146"/>
      <c r="AN527" s="146"/>
      <c r="AO527" s="146"/>
      <c r="AP527" s="146"/>
      <c r="AQ527" s="146"/>
      <c r="AR527" s="146"/>
      <c r="AS527" s="146"/>
      <c r="AT527" s="146"/>
      <c r="AU527" s="146"/>
      <c r="AV527" s="146"/>
      <c r="AW527" s="146"/>
      <c r="AX527" s="146"/>
      <c r="AY527" s="146"/>
      <c r="AZ527" s="146"/>
      <c r="BA527" s="146"/>
      <c r="BB527" s="146"/>
      <c r="BC527" s="146"/>
      <c r="BD527" s="146"/>
      <c r="BE527" s="146"/>
      <c r="BF527" s="146"/>
      <c r="BG527" s="146"/>
      <c r="BH527" s="146"/>
      <c r="BI527" s="146"/>
      <c r="BJ527" s="146"/>
      <c r="BK527" s="146"/>
      <c r="BL527" s="146"/>
      <c r="BM527" s="146"/>
      <c r="BN527" s="146"/>
      <c r="BO527" s="146"/>
      <c r="BP527" s="146"/>
      <c r="BQ527" s="146"/>
      <c r="BR527" s="146"/>
      <c r="BS527" s="146"/>
      <c r="BT527" s="146"/>
      <c r="BU527" s="146"/>
    </row>
    <row r="528" spans="15:73">
      <c r="O528" s="146"/>
      <c r="P528" s="146"/>
      <c r="Q528" s="146"/>
      <c r="R528" s="146"/>
      <c r="S528" s="146"/>
      <c r="T528" s="146"/>
      <c r="U528" s="146"/>
      <c r="V528" s="146"/>
      <c r="W528" s="146"/>
      <c r="X528" s="146"/>
      <c r="Y528" s="146"/>
      <c r="Z528" s="146"/>
      <c r="AA528" s="146"/>
      <c r="AB528" s="146"/>
      <c r="AC528" s="146"/>
      <c r="AD528" s="146"/>
      <c r="AE528" s="146"/>
      <c r="AF528" s="146"/>
      <c r="AG528" s="146"/>
      <c r="AH528" s="146"/>
      <c r="AI528" s="146"/>
      <c r="AJ528" s="146"/>
      <c r="AK528" s="146"/>
      <c r="AL528" s="146"/>
      <c r="AM528" s="146"/>
      <c r="AN528" s="146"/>
      <c r="AO528" s="146"/>
      <c r="AP528" s="146"/>
      <c r="AQ528" s="146"/>
      <c r="AR528" s="146"/>
      <c r="AS528" s="146"/>
      <c r="AT528" s="146"/>
      <c r="AU528" s="146"/>
      <c r="AV528" s="146"/>
      <c r="AW528" s="146"/>
      <c r="AX528" s="146"/>
      <c r="AY528" s="146"/>
      <c r="AZ528" s="146"/>
      <c r="BA528" s="146"/>
      <c r="BB528" s="146"/>
      <c r="BC528" s="146"/>
      <c r="BD528" s="146"/>
      <c r="BE528" s="146"/>
      <c r="BF528" s="146"/>
      <c r="BG528" s="146"/>
      <c r="BH528" s="146"/>
      <c r="BI528" s="146"/>
      <c r="BJ528" s="146"/>
      <c r="BK528" s="146"/>
      <c r="BL528" s="146"/>
      <c r="BM528" s="146"/>
      <c r="BN528" s="146"/>
      <c r="BO528" s="146"/>
      <c r="BP528" s="146"/>
      <c r="BQ528" s="146"/>
      <c r="BR528" s="146"/>
      <c r="BS528" s="146"/>
      <c r="BT528" s="146"/>
      <c r="BU528" s="146"/>
    </row>
    <row r="529" spans="15:73">
      <c r="O529" s="146"/>
      <c r="P529" s="146"/>
      <c r="Q529" s="146"/>
      <c r="R529" s="146"/>
      <c r="S529" s="146"/>
      <c r="T529" s="146"/>
      <c r="U529" s="146"/>
      <c r="V529" s="146"/>
      <c r="W529" s="146"/>
      <c r="X529" s="146"/>
      <c r="Y529" s="146"/>
      <c r="Z529" s="146"/>
      <c r="AA529" s="146"/>
      <c r="AB529" s="146"/>
      <c r="AC529" s="146"/>
      <c r="AD529" s="146"/>
      <c r="AE529" s="146"/>
      <c r="AF529" s="146"/>
      <c r="AG529" s="146"/>
      <c r="AH529" s="146"/>
      <c r="AI529" s="146"/>
      <c r="AJ529" s="146"/>
      <c r="AK529" s="146"/>
      <c r="AL529" s="146"/>
      <c r="AM529" s="146"/>
      <c r="AN529" s="146"/>
      <c r="AO529" s="146"/>
      <c r="AP529" s="146"/>
      <c r="AQ529" s="146"/>
      <c r="AR529" s="146"/>
      <c r="AS529" s="146"/>
      <c r="AT529" s="146"/>
      <c r="AU529" s="146"/>
      <c r="AV529" s="146"/>
      <c r="AW529" s="146"/>
      <c r="AX529" s="146"/>
      <c r="AY529" s="146"/>
      <c r="AZ529" s="146"/>
      <c r="BA529" s="146"/>
      <c r="BB529" s="146"/>
      <c r="BC529" s="146"/>
      <c r="BD529" s="146"/>
      <c r="BE529" s="146"/>
      <c r="BF529" s="146"/>
      <c r="BG529" s="146"/>
      <c r="BH529" s="146"/>
      <c r="BI529" s="146"/>
      <c r="BJ529" s="146"/>
      <c r="BK529" s="146"/>
      <c r="BL529" s="146"/>
      <c r="BM529" s="146"/>
      <c r="BN529" s="146"/>
      <c r="BO529" s="146"/>
      <c r="BP529" s="146"/>
      <c r="BQ529" s="146"/>
      <c r="BR529" s="146"/>
      <c r="BS529" s="146"/>
      <c r="BT529" s="146"/>
      <c r="BU529" s="146"/>
    </row>
    <row r="530" spans="15:73">
      <c r="O530" s="146"/>
      <c r="P530" s="146"/>
      <c r="Q530" s="146"/>
      <c r="R530" s="146"/>
      <c r="S530" s="146"/>
      <c r="T530" s="146"/>
      <c r="U530" s="146"/>
      <c r="V530" s="146"/>
      <c r="W530" s="146"/>
      <c r="X530" s="146"/>
      <c r="Y530" s="146"/>
      <c r="Z530" s="146"/>
      <c r="AA530" s="146"/>
      <c r="AB530" s="146"/>
      <c r="AC530" s="146"/>
      <c r="AD530" s="146"/>
      <c r="AE530" s="146"/>
      <c r="AF530" s="146"/>
      <c r="AG530" s="146"/>
      <c r="AH530" s="146"/>
      <c r="AI530" s="146"/>
      <c r="AJ530" s="146"/>
      <c r="AK530" s="146"/>
      <c r="AL530" s="146"/>
      <c r="AM530" s="146"/>
      <c r="AN530" s="146"/>
      <c r="AO530" s="146"/>
      <c r="AP530" s="146"/>
      <c r="AQ530" s="146"/>
      <c r="AR530" s="146"/>
      <c r="AS530" s="146"/>
      <c r="AT530" s="146"/>
      <c r="AU530" s="146"/>
      <c r="AV530" s="146"/>
      <c r="AW530" s="146"/>
      <c r="AX530" s="146"/>
      <c r="AY530" s="146"/>
      <c r="AZ530" s="146"/>
      <c r="BA530" s="146"/>
      <c r="BB530" s="146"/>
      <c r="BC530" s="146"/>
      <c r="BD530" s="146"/>
      <c r="BE530" s="146"/>
      <c r="BF530" s="146"/>
      <c r="BG530" s="146"/>
      <c r="BH530" s="146"/>
      <c r="BI530" s="146"/>
      <c r="BJ530" s="146"/>
      <c r="BK530" s="146"/>
      <c r="BL530" s="146"/>
      <c r="BM530" s="146"/>
      <c r="BN530" s="146"/>
      <c r="BO530" s="146"/>
      <c r="BP530" s="146"/>
      <c r="BQ530" s="146"/>
      <c r="BR530" s="146"/>
      <c r="BS530" s="146"/>
      <c r="BT530" s="146"/>
      <c r="BU530" s="146"/>
    </row>
    <row r="531" spans="15:73">
      <c r="O531" s="146"/>
      <c r="P531" s="146"/>
      <c r="Q531" s="146"/>
      <c r="R531" s="146"/>
      <c r="S531" s="146"/>
      <c r="T531" s="146"/>
      <c r="U531" s="146"/>
      <c r="V531" s="146"/>
      <c r="W531" s="146"/>
      <c r="X531" s="146"/>
      <c r="Y531" s="146"/>
      <c r="Z531" s="146"/>
      <c r="AA531" s="146"/>
      <c r="AB531" s="146"/>
      <c r="AC531" s="146"/>
      <c r="AD531" s="146"/>
      <c r="AE531" s="146"/>
      <c r="AF531" s="146"/>
      <c r="AG531" s="146"/>
      <c r="AH531" s="146"/>
      <c r="AI531" s="146"/>
      <c r="AJ531" s="146"/>
      <c r="AK531" s="146"/>
      <c r="AL531" s="146"/>
      <c r="AM531" s="146"/>
      <c r="AN531" s="146"/>
      <c r="AO531" s="146"/>
      <c r="AP531" s="146"/>
      <c r="AQ531" s="146"/>
      <c r="AR531" s="146"/>
      <c r="AS531" s="146"/>
      <c r="AT531" s="146"/>
      <c r="AU531" s="146"/>
      <c r="AV531" s="146"/>
      <c r="AW531" s="146"/>
      <c r="AX531" s="146"/>
      <c r="AY531" s="146"/>
      <c r="AZ531" s="146"/>
      <c r="BA531" s="146"/>
      <c r="BB531" s="146"/>
      <c r="BC531" s="146"/>
      <c r="BD531" s="146"/>
      <c r="BE531" s="146"/>
      <c r="BF531" s="146"/>
      <c r="BG531" s="146"/>
      <c r="BH531" s="146"/>
      <c r="BI531" s="146"/>
      <c r="BJ531" s="146"/>
      <c r="BK531" s="146"/>
      <c r="BL531" s="146"/>
      <c r="BM531" s="146"/>
      <c r="BN531" s="146"/>
      <c r="BO531" s="146"/>
      <c r="BP531" s="146"/>
      <c r="BQ531" s="146"/>
      <c r="BR531" s="146"/>
      <c r="BS531" s="146"/>
      <c r="BT531" s="146"/>
      <c r="BU531" s="146"/>
    </row>
    <row r="532" spans="15:73">
      <c r="O532" s="146"/>
      <c r="P532" s="146"/>
      <c r="Q532" s="146"/>
      <c r="R532" s="146"/>
      <c r="S532" s="146"/>
      <c r="T532" s="146"/>
      <c r="U532" s="146"/>
      <c r="V532" s="146"/>
      <c r="W532" s="146"/>
      <c r="X532" s="146"/>
      <c r="Y532" s="146"/>
      <c r="Z532" s="146"/>
      <c r="AA532" s="146"/>
      <c r="AB532" s="146"/>
      <c r="AC532" s="146"/>
      <c r="AD532" s="146"/>
      <c r="AE532" s="146"/>
      <c r="AF532" s="146"/>
      <c r="AG532" s="146"/>
      <c r="AH532" s="146"/>
      <c r="AI532" s="146"/>
      <c r="AJ532" s="146"/>
      <c r="AK532" s="146"/>
      <c r="AL532" s="146"/>
      <c r="AM532" s="146"/>
      <c r="AN532" s="146"/>
      <c r="AO532" s="146"/>
      <c r="AP532" s="146"/>
      <c r="AQ532" s="146"/>
      <c r="AR532" s="146"/>
      <c r="AS532" s="146"/>
      <c r="AT532" s="146"/>
      <c r="AU532" s="146"/>
      <c r="AV532" s="146"/>
      <c r="AW532" s="146"/>
      <c r="AX532" s="146"/>
      <c r="AY532" s="146"/>
      <c r="AZ532" s="146"/>
      <c r="BA532" s="146"/>
      <c r="BB532" s="146"/>
      <c r="BC532" s="146"/>
      <c r="BD532" s="146"/>
      <c r="BE532" s="146"/>
      <c r="BF532" s="146"/>
      <c r="BG532" s="146"/>
      <c r="BH532" s="146"/>
      <c r="BI532" s="146"/>
      <c r="BJ532" s="146"/>
      <c r="BK532" s="146"/>
      <c r="BL532" s="146"/>
      <c r="BM532" s="146"/>
      <c r="BN532" s="146"/>
      <c r="BO532" s="146"/>
      <c r="BP532" s="146"/>
      <c r="BQ532" s="146"/>
      <c r="BR532" s="146"/>
      <c r="BS532" s="146"/>
      <c r="BT532" s="146"/>
      <c r="BU532" s="146"/>
    </row>
    <row r="533" spans="15:73">
      <c r="O533" s="146"/>
      <c r="P533" s="146"/>
      <c r="Q533" s="146"/>
      <c r="R533" s="146"/>
      <c r="S533" s="146"/>
      <c r="T533" s="146"/>
      <c r="U533" s="146"/>
      <c r="V533" s="146"/>
      <c r="W533" s="146"/>
      <c r="X533" s="146"/>
      <c r="Y533" s="146"/>
      <c r="Z533" s="146"/>
      <c r="AA533" s="146"/>
      <c r="AB533" s="146"/>
      <c r="AC533" s="146"/>
      <c r="AD533" s="146"/>
      <c r="AE533" s="146"/>
      <c r="AF533" s="146"/>
      <c r="AG533" s="146"/>
      <c r="AH533" s="146"/>
      <c r="AI533" s="146"/>
      <c r="AJ533" s="146"/>
      <c r="AK533" s="146"/>
      <c r="AL533" s="146"/>
      <c r="AM533" s="146"/>
      <c r="AN533" s="146"/>
      <c r="AO533" s="146"/>
      <c r="AP533" s="146"/>
      <c r="AQ533" s="146"/>
      <c r="AR533" s="146"/>
      <c r="AS533" s="146"/>
      <c r="AT533" s="146"/>
      <c r="AU533" s="146"/>
      <c r="AV533" s="146"/>
      <c r="AW533" s="146"/>
      <c r="AX533" s="146"/>
      <c r="AY533" s="146"/>
      <c r="AZ533" s="146"/>
      <c r="BA533" s="146"/>
      <c r="BB533" s="146"/>
      <c r="BC533" s="146"/>
      <c r="BD533" s="146"/>
      <c r="BE533" s="146"/>
      <c r="BF533" s="146"/>
      <c r="BG533" s="146"/>
      <c r="BH533" s="146"/>
      <c r="BI533" s="146"/>
      <c r="BJ533" s="146"/>
      <c r="BK533" s="146"/>
      <c r="BL533" s="146"/>
      <c r="BM533" s="146"/>
      <c r="BN533" s="146"/>
      <c r="BO533" s="146"/>
      <c r="BP533" s="146"/>
      <c r="BQ533" s="146"/>
      <c r="BR533" s="146"/>
      <c r="BS533" s="146"/>
      <c r="BT533" s="146"/>
      <c r="BU533" s="146"/>
    </row>
    <row r="534" spans="15:73">
      <c r="O534" s="146"/>
      <c r="P534" s="146"/>
      <c r="Q534" s="146"/>
      <c r="R534" s="146"/>
      <c r="S534" s="146"/>
      <c r="T534" s="146"/>
      <c r="U534" s="146"/>
      <c r="V534" s="146"/>
      <c r="W534" s="146"/>
      <c r="X534" s="146"/>
      <c r="Y534" s="146"/>
      <c r="Z534" s="146"/>
      <c r="AA534" s="146"/>
      <c r="AB534" s="146"/>
      <c r="AC534" s="146"/>
      <c r="AD534" s="146"/>
      <c r="AE534" s="146"/>
      <c r="AF534" s="146"/>
      <c r="AG534" s="146"/>
      <c r="AH534" s="146"/>
      <c r="AI534" s="146"/>
      <c r="AJ534" s="146"/>
      <c r="AK534" s="146"/>
      <c r="AL534" s="146"/>
      <c r="AM534" s="146"/>
      <c r="AN534" s="146"/>
      <c r="AO534" s="146"/>
      <c r="AP534" s="146"/>
      <c r="AQ534" s="146"/>
      <c r="AR534" s="146"/>
      <c r="AS534" s="146"/>
      <c r="AT534" s="146"/>
      <c r="AU534" s="146"/>
      <c r="AV534" s="146"/>
      <c r="AW534" s="146"/>
      <c r="AX534" s="146"/>
      <c r="AY534" s="146"/>
      <c r="AZ534" s="146"/>
      <c r="BA534" s="146"/>
      <c r="BB534" s="146"/>
      <c r="BC534" s="146"/>
      <c r="BD534" s="146"/>
      <c r="BE534" s="146"/>
      <c r="BF534" s="146"/>
      <c r="BG534" s="146"/>
      <c r="BH534" s="146"/>
      <c r="BI534" s="146"/>
      <c r="BJ534" s="146"/>
      <c r="BK534" s="146"/>
      <c r="BL534" s="146"/>
      <c r="BM534" s="146"/>
      <c r="BN534" s="146"/>
      <c r="BO534" s="146"/>
      <c r="BP534" s="146"/>
      <c r="BQ534" s="146"/>
      <c r="BR534" s="146"/>
      <c r="BS534" s="146"/>
      <c r="BT534" s="146"/>
      <c r="BU534" s="146"/>
    </row>
  </sheetData>
  <dataConsolidate link="1"/>
  <phoneticPr fontId="11" type="noConversion"/>
  <pageMargins left="0.75" right="0.75" top="1" bottom="1" header="0.5" footer="0.5"/>
  <pageSetup scale="64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J34"/>
  <sheetViews>
    <sheetView showGridLines="0" zoomScale="70" zoomScaleNormal="70" workbookViewId="0"/>
  </sheetViews>
  <sheetFormatPr defaultColWidth="9.109375" defaultRowHeight="13.2"/>
  <cols>
    <col min="1" max="1" width="16" style="18" customWidth="1"/>
    <col min="2" max="2" width="12.33203125" style="18" bestFit="1" customWidth="1"/>
    <col min="3" max="3" width="11.6640625" style="18" bestFit="1" customWidth="1"/>
    <col min="4" max="4" width="8.6640625" style="18" bestFit="1" customWidth="1"/>
    <col min="5" max="5" width="11.5546875" style="18" bestFit="1" customWidth="1"/>
    <col min="6" max="6" width="1.6640625" style="18" customWidth="1"/>
    <col min="7" max="9" width="11.5546875" style="18" bestFit="1" customWidth="1"/>
    <col min="10" max="10" width="10.6640625" style="18" customWidth="1"/>
    <col min="11" max="16384" width="9.109375" style="18"/>
  </cols>
  <sheetData>
    <row r="1" spans="1:10" ht="13.8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3.8">
      <c r="A2" s="19"/>
      <c r="B2" s="159" t="s">
        <v>57</v>
      </c>
      <c r="C2" s="159"/>
      <c r="D2" s="159"/>
      <c r="E2" s="159"/>
      <c r="F2" s="23"/>
      <c r="G2" s="159" t="s">
        <v>58</v>
      </c>
      <c r="H2" s="159"/>
      <c r="I2" s="159"/>
      <c r="J2" s="19"/>
    </row>
    <row r="3" spans="1:10" ht="13.8">
      <c r="A3" s="19" t="s">
        <v>16</v>
      </c>
      <c r="B3" s="21" t="s">
        <v>19</v>
      </c>
      <c r="C3" s="25"/>
      <c r="D3" s="25"/>
      <c r="E3" s="25"/>
      <c r="F3" s="25"/>
      <c r="G3" s="25"/>
      <c r="H3" s="25"/>
      <c r="I3" s="25"/>
      <c r="J3" s="21" t="s">
        <v>59</v>
      </c>
    </row>
    <row r="4" spans="1:10" ht="13.8">
      <c r="A4" s="26" t="s">
        <v>60</v>
      </c>
      <c r="B4" s="28" t="s">
        <v>61</v>
      </c>
      <c r="C4" s="28" t="s">
        <v>25</v>
      </c>
      <c r="D4" s="28" t="s">
        <v>26</v>
      </c>
      <c r="E4" s="30" t="s">
        <v>62</v>
      </c>
      <c r="F4" s="29"/>
      <c r="G4" s="28" t="s">
        <v>63</v>
      </c>
      <c r="H4" s="28" t="s">
        <v>64</v>
      </c>
      <c r="I4" s="28" t="s">
        <v>62</v>
      </c>
      <c r="J4" s="28" t="s">
        <v>65</v>
      </c>
    </row>
    <row r="5" spans="1:10" ht="14.4">
      <c r="A5" s="19"/>
      <c r="B5" s="160" t="s">
        <v>66</v>
      </c>
      <c r="C5" s="160"/>
      <c r="D5" s="160"/>
      <c r="E5" s="160"/>
      <c r="F5" s="160"/>
      <c r="G5" s="160"/>
      <c r="H5" s="160"/>
      <c r="I5" s="160"/>
      <c r="J5" s="160"/>
    </row>
    <row r="6" spans="1:10" ht="13.8">
      <c r="A6" s="19" t="s">
        <v>32</v>
      </c>
      <c r="B6" s="52">
        <v>402.01499999999999</v>
      </c>
      <c r="C6" s="53">
        <v>51100.43</v>
      </c>
      <c r="D6" s="53">
        <v>639.45289700599983</v>
      </c>
      <c r="E6" s="37">
        <v>52141.897897005998</v>
      </c>
      <c r="F6" s="53"/>
      <c r="G6" s="53">
        <v>37966.877728954991</v>
      </c>
      <c r="H6" s="53">
        <v>13833.684168051001</v>
      </c>
      <c r="I6" s="53">
        <v>51800.561897005995</v>
      </c>
      <c r="J6" s="53">
        <v>341.33600000000001</v>
      </c>
    </row>
    <row r="7" spans="1:10" ht="16.2">
      <c r="A7" s="19" t="s">
        <v>33</v>
      </c>
      <c r="B7" s="52">
        <f>J6</f>
        <v>341.33600000000001</v>
      </c>
      <c r="C7" s="53">
        <f>C23</f>
        <v>50564.714999999989</v>
      </c>
      <c r="D7" s="53">
        <f>D23</f>
        <v>782.87279764099992</v>
      </c>
      <c r="E7" s="37">
        <f>E23</f>
        <v>51688.923797640993</v>
      </c>
      <c r="F7" s="53"/>
      <c r="G7" s="53">
        <f>G23</f>
        <v>37580.430300251006</v>
      </c>
      <c r="H7" s="53">
        <f>H23</f>
        <v>13767.707497390002</v>
      </c>
      <c r="I7" s="53">
        <f>I23</f>
        <v>51348.137797641</v>
      </c>
      <c r="J7" s="53">
        <f>J22</f>
        <v>340.786</v>
      </c>
    </row>
    <row r="8" spans="1:10" ht="16.2">
      <c r="A8" s="19" t="s">
        <v>34</v>
      </c>
      <c r="B8" s="52">
        <f>J7</f>
        <v>340.786</v>
      </c>
      <c r="C8" s="53">
        <v>51509.214</v>
      </c>
      <c r="D8" s="53">
        <v>450</v>
      </c>
      <c r="E8" s="37">
        <f>SUM(B8:D8)</f>
        <v>52300</v>
      </c>
      <c r="F8" s="53"/>
      <c r="G8" s="53">
        <f>I8-H8</f>
        <v>37900</v>
      </c>
      <c r="H8" s="53">
        <f>14200-200</f>
        <v>14000</v>
      </c>
      <c r="I8" s="53">
        <f>E8-J8</f>
        <v>51900</v>
      </c>
      <c r="J8" s="53">
        <v>400</v>
      </c>
    </row>
    <row r="9" spans="1:10" ht="13.8">
      <c r="A9" s="19"/>
      <c r="B9" s="54"/>
      <c r="C9" s="54"/>
      <c r="D9" s="54"/>
      <c r="E9" s="54"/>
      <c r="F9" s="54"/>
      <c r="G9" s="53"/>
      <c r="H9" s="54"/>
      <c r="I9" s="54"/>
      <c r="J9" s="54"/>
    </row>
    <row r="10" spans="1:10" ht="13.8">
      <c r="A10" s="55" t="s">
        <v>36</v>
      </c>
      <c r="B10" s="56"/>
      <c r="C10" s="7"/>
      <c r="D10" s="7"/>
      <c r="E10" s="7"/>
      <c r="F10" s="7"/>
      <c r="G10" s="7"/>
      <c r="H10" s="7"/>
      <c r="I10" s="7"/>
      <c r="J10" s="7"/>
    </row>
    <row r="11" spans="1:10" ht="13.8">
      <c r="A11" s="23" t="s">
        <v>38</v>
      </c>
      <c r="B11" s="56">
        <v>341.33600000000001</v>
      </c>
      <c r="C11" s="7">
        <v>4615.5919999999996</v>
      </c>
      <c r="D11" s="7">
        <f>(63180.5*1.10231)/1000</f>
        <v>69.644496954999994</v>
      </c>
      <c r="E11" s="7">
        <f t="shared" ref="E11:E17" si="0">SUM(B11:D11)</f>
        <v>5026.5724969550001</v>
      </c>
      <c r="F11" s="6"/>
      <c r="G11" s="5">
        <f t="shared" ref="G11:G17" si="1">I11-H11</f>
        <v>3543.9302441150003</v>
      </c>
      <c r="H11" s="7">
        <f>(1005564*1.10231)/1000</f>
        <v>1108.44325284</v>
      </c>
      <c r="I11" s="6">
        <f t="shared" ref="I11:I17" si="2">E11-J11</f>
        <v>4652.3734969550005</v>
      </c>
      <c r="J11" s="6">
        <v>374.19900000000001</v>
      </c>
    </row>
    <row r="12" spans="1:10" ht="13.8">
      <c r="A12" s="23" t="s">
        <v>39</v>
      </c>
      <c r="B12" s="56">
        <f t="shared" ref="B12:B17" si="3">J11</f>
        <v>374.19900000000001</v>
      </c>
      <c r="C12" s="7">
        <v>4516.2939999999999</v>
      </c>
      <c r="D12" s="7">
        <f>(61205.6*1.10231)/1000</f>
        <v>67.467544935999996</v>
      </c>
      <c r="E12" s="7">
        <f t="shared" si="0"/>
        <v>4957.9605449359997</v>
      </c>
      <c r="F12" s="6"/>
      <c r="G12" s="5">
        <f t="shared" si="1"/>
        <v>3223.2103220019999</v>
      </c>
      <c r="H12" s="7">
        <f>(1157871.4*1.10231)/1000</f>
        <v>1276.3332229339997</v>
      </c>
      <c r="I12" s="6">
        <f t="shared" si="2"/>
        <v>4499.5435449359993</v>
      </c>
      <c r="J12" s="6">
        <v>458.41699999999997</v>
      </c>
    </row>
    <row r="13" spans="1:10" ht="13.8">
      <c r="A13" s="23" t="s">
        <v>41</v>
      </c>
      <c r="B13" s="56">
        <f t="shared" si="3"/>
        <v>458.41699999999997</v>
      </c>
      <c r="C13" s="7">
        <v>4540.9309999999996</v>
      </c>
      <c r="D13" s="7">
        <f>(58666.4*1.10231)/1000</f>
        <v>64.668559383999991</v>
      </c>
      <c r="E13" s="7">
        <f t="shared" si="0"/>
        <v>5064.0165593840002</v>
      </c>
      <c r="F13" s="6"/>
      <c r="G13" s="5">
        <f t="shared" si="1"/>
        <v>3257.6761174220001</v>
      </c>
      <c r="H13" s="7">
        <f>(1312650.2*1.10231)/1000</f>
        <v>1446.9474419619999</v>
      </c>
      <c r="I13" s="6">
        <f t="shared" si="2"/>
        <v>4704.6235593840001</v>
      </c>
      <c r="J13" s="6">
        <v>359.39299999999997</v>
      </c>
    </row>
    <row r="14" spans="1:10" ht="13.8">
      <c r="A14" s="23" t="s">
        <v>42</v>
      </c>
      <c r="B14" s="56">
        <f t="shared" si="3"/>
        <v>359.39299999999997</v>
      </c>
      <c r="C14" s="7">
        <v>4665.652</v>
      </c>
      <c r="D14" s="7">
        <f>(62004.8*1.10231)/1000</f>
        <v>68.348511087999995</v>
      </c>
      <c r="E14" s="7">
        <f t="shared" si="0"/>
        <v>5093.3935110880002</v>
      </c>
      <c r="F14" s="6"/>
      <c r="G14" s="5">
        <f t="shared" si="1"/>
        <v>3080.2815676670002</v>
      </c>
      <c r="H14" s="7">
        <f>(1322049.1*1.10231)/1000</f>
        <v>1457.3079434209999</v>
      </c>
      <c r="I14" s="6">
        <f t="shared" si="2"/>
        <v>4537.5895110880001</v>
      </c>
      <c r="J14" s="6">
        <v>555.80399999999997</v>
      </c>
    </row>
    <row r="15" spans="1:10" ht="13.8">
      <c r="A15" s="23" t="s">
        <v>43</v>
      </c>
      <c r="B15" s="56">
        <f t="shared" si="3"/>
        <v>555.80399999999997</v>
      </c>
      <c r="C15" s="7">
        <v>3918.6709999999998</v>
      </c>
      <c r="D15" s="7">
        <f>(60831.4*1.10231)/1000</f>
        <v>67.055060533999992</v>
      </c>
      <c r="E15" s="7">
        <f t="shared" si="0"/>
        <v>4541.5300605339999</v>
      </c>
      <c r="F15" s="6"/>
      <c r="G15" s="5">
        <f t="shared" si="1"/>
        <v>2640.8198255869997</v>
      </c>
      <c r="H15" s="7">
        <f>(1194443.7*1.10231)/1000</f>
        <v>1316.647234947</v>
      </c>
      <c r="I15" s="6">
        <f t="shared" si="2"/>
        <v>3957.4670605339998</v>
      </c>
      <c r="J15" s="6">
        <v>584.06299999999999</v>
      </c>
    </row>
    <row r="16" spans="1:10" ht="13.8">
      <c r="A16" s="23" t="s">
        <v>45</v>
      </c>
      <c r="B16" s="56">
        <f t="shared" si="3"/>
        <v>584.06299999999999</v>
      </c>
      <c r="C16" s="7">
        <v>4476.5870000000004</v>
      </c>
      <c r="D16" s="7">
        <f>(66448.6*1.10231)/1000</f>
        <v>73.246956265999998</v>
      </c>
      <c r="E16" s="7">
        <f t="shared" si="0"/>
        <v>5133.8969562660004</v>
      </c>
      <c r="F16" s="6"/>
      <c r="G16" s="5">
        <f t="shared" si="1"/>
        <v>3387.3791584980008</v>
      </c>
      <c r="H16" s="7">
        <f>(1178232.8*1.10231)/1000</f>
        <v>1298.777797768</v>
      </c>
      <c r="I16" s="6">
        <f t="shared" si="2"/>
        <v>4686.1569562660006</v>
      </c>
      <c r="J16" s="6">
        <v>447.74</v>
      </c>
    </row>
    <row r="17" spans="1:10" ht="13.8">
      <c r="A17" s="23" t="s">
        <v>46</v>
      </c>
      <c r="B17" s="56">
        <f t="shared" si="3"/>
        <v>447.74</v>
      </c>
      <c r="C17" s="7">
        <v>4044.7089999999998</v>
      </c>
      <c r="D17" s="7">
        <f>(61739.5*1.10231)/1000</f>
        <v>68.056068244999992</v>
      </c>
      <c r="E17" s="7">
        <f t="shared" si="0"/>
        <v>4560.5050682449992</v>
      </c>
      <c r="F17" s="6"/>
      <c r="G17" s="5">
        <f t="shared" si="1"/>
        <v>3050.7248173269991</v>
      </c>
      <c r="H17" s="7">
        <f>(959597.8*1.10231)/1000</f>
        <v>1057.774250918</v>
      </c>
      <c r="I17" s="6">
        <f t="shared" si="2"/>
        <v>4108.4990682449989</v>
      </c>
      <c r="J17" s="6">
        <v>452.00599999999997</v>
      </c>
    </row>
    <row r="18" spans="1:10" ht="13.8">
      <c r="A18" s="23" t="s">
        <v>47</v>
      </c>
      <c r="B18" s="56">
        <f t="shared" ref="B18" si="4">J17</f>
        <v>452.00599999999997</v>
      </c>
      <c r="C18" s="7">
        <v>4122.884</v>
      </c>
      <c r="D18" s="7">
        <f>(59425.5*1.10231)/1000</f>
        <v>65.505322905</v>
      </c>
      <c r="E18" s="7">
        <f>SUM(B18:D18)</f>
        <v>4640.3953229050003</v>
      </c>
      <c r="F18" s="6"/>
      <c r="G18" s="5">
        <f t="shared" ref="G18:G22" si="5">I18-H18</f>
        <v>2948.6927628190006</v>
      </c>
      <c r="H18" s="7">
        <f>(952770.6*1.10231)/1000</f>
        <v>1050.2485600859998</v>
      </c>
      <c r="I18" s="6">
        <f>E18-J18</f>
        <v>3998.9413229050006</v>
      </c>
      <c r="J18" s="6">
        <v>641.45399999999995</v>
      </c>
    </row>
    <row r="19" spans="1:10" ht="13.8">
      <c r="A19" s="23" t="s">
        <v>49</v>
      </c>
      <c r="B19" s="56">
        <f>J18</f>
        <v>641.45399999999995</v>
      </c>
      <c r="C19" s="7">
        <v>3833.951</v>
      </c>
      <c r="D19" s="7">
        <f>(57647.2*1.10231)/1000</f>
        <v>63.545085031999989</v>
      </c>
      <c r="E19" s="7">
        <f>SUM(B19:D19)</f>
        <v>4538.9500850320001</v>
      </c>
      <c r="F19" s="6"/>
      <c r="G19" s="5">
        <f t="shared" si="5"/>
        <v>3182.6439690309999</v>
      </c>
      <c r="H19" s="7">
        <f>(832167.1*1.10231)/1000</f>
        <v>917.30611600099996</v>
      </c>
      <c r="I19" s="6">
        <f>E19-J19</f>
        <v>4099.9500850320001</v>
      </c>
      <c r="J19" s="6">
        <v>439</v>
      </c>
    </row>
    <row r="20" spans="1:10" ht="13.8">
      <c r="A20" s="23" t="s">
        <v>50</v>
      </c>
      <c r="B20" s="56">
        <f>J19</f>
        <v>439</v>
      </c>
      <c r="C20" s="7">
        <v>3966.4989999999998</v>
      </c>
      <c r="D20" s="7">
        <f>(80443.6*1.10231)/1000</f>
        <v>88.673784716</v>
      </c>
      <c r="E20" s="7">
        <f>SUM(B20:D20)</f>
        <v>4494.172784716</v>
      </c>
      <c r="F20" s="6"/>
      <c r="G20" s="5">
        <f t="shared" si="5"/>
        <v>2936.1778779750002</v>
      </c>
      <c r="H20" s="7">
        <f>(980821.1*1.10231)/1000</f>
        <v>1081.1689067409998</v>
      </c>
      <c r="I20" s="6">
        <f>E20-J20</f>
        <v>4017.346784716</v>
      </c>
      <c r="J20" s="6">
        <v>476.82600000000002</v>
      </c>
    </row>
    <row r="21" spans="1:10" ht="13.8">
      <c r="A21" s="23" t="s">
        <v>51</v>
      </c>
      <c r="B21" s="56">
        <f>J20</f>
        <v>476.82600000000002</v>
      </c>
      <c r="C21" s="7">
        <v>3995.2939999999999</v>
      </c>
      <c r="D21" s="7">
        <f>(42840.9*1.10231)/1000</f>
        <v>47.223952478999998</v>
      </c>
      <c r="E21" s="7">
        <f>SUM(B21:D21)</f>
        <v>4519.3439524790001</v>
      </c>
      <c r="F21" s="6"/>
      <c r="G21" s="5">
        <f t="shared" si="5"/>
        <v>3177.8774938420006</v>
      </c>
      <c r="H21" s="7">
        <f>(869042.7*1.10231)/1000</f>
        <v>957.95445863699979</v>
      </c>
      <c r="I21" s="6">
        <f>E21-J21</f>
        <v>4135.8319524790004</v>
      </c>
      <c r="J21" s="6">
        <v>383.512</v>
      </c>
    </row>
    <row r="22" spans="1:10" ht="13.8">
      <c r="A22" s="23" t="s">
        <v>37</v>
      </c>
      <c r="B22" s="56">
        <f>J21</f>
        <v>383.512</v>
      </c>
      <c r="C22" s="7">
        <v>3867.6509999999998</v>
      </c>
      <c r="D22" s="7">
        <f>(35777.1*1.10231)/1000</f>
        <v>39.437455100999991</v>
      </c>
      <c r="E22" s="7">
        <f>SUM(B22:D22)</f>
        <v>4290.6004551009992</v>
      </c>
      <c r="F22" s="6"/>
      <c r="G22" s="5">
        <f t="shared" si="5"/>
        <v>3151.0161439659992</v>
      </c>
      <c r="H22" s="7">
        <f>(724658.5*1.10231)/1000</f>
        <v>798.79831113499995</v>
      </c>
      <c r="I22" s="6">
        <f>E22-J22</f>
        <v>3949.8144551009991</v>
      </c>
      <c r="J22" s="6">
        <v>340.786</v>
      </c>
    </row>
    <row r="23" spans="1:10" ht="13.8">
      <c r="A23" s="23" t="s">
        <v>27</v>
      </c>
      <c r="B23" s="56"/>
      <c r="C23" s="7">
        <f>SUM(C11:C22)</f>
        <v>50564.714999999989</v>
      </c>
      <c r="D23" s="7">
        <f>SUM(D11:D22)</f>
        <v>782.87279764099992</v>
      </c>
      <c r="E23" s="7">
        <f>B11+C23+D23</f>
        <v>51688.923797640993</v>
      </c>
      <c r="F23" s="7"/>
      <c r="G23" s="7">
        <f>SUM(G11:G22)</f>
        <v>37580.430300251006</v>
      </c>
      <c r="H23" s="7">
        <f>SUM(H11:H22)</f>
        <v>13767.707497390002</v>
      </c>
      <c r="I23" s="7">
        <f>SUM(I11:I22)</f>
        <v>51348.137797641</v>
      </c>
      <c r="J23" s="7"/>
    </row>
    <row r="24" spans="1:10" ht="13.8">
      <c r="A24" s="23"/>
      <c r="B24" s="56"/>
      <c r="C24" s="7"/>
      <c r="D24" s="7"/>
      <c r="E24" s="7"/>
      <c r="F24" s="7"/>
      <c r="G24" s="7"/>
      <c r="H24" s="7"/>
      <c r="I24" s="7"/>
      <c r="J24" s="7"/>
    </row>
    <row r="25" spans="1:10" ht="13.8">
      <c r="A25" s="55" t="s">
        <v>53</v>
      </c>
      <c r="B25" s="56"/>
      <c r="C25" s="7"/>
      <c r="D25" s="7"/>
      <c r="E25" s="7"/>
      <c r="F25" s="7"/>
      <c r="G25" s="7"/>
      <c r="H25" s="7"/>
      <c r="I25" s="7"/>
      <c r="J25" s="7"/>
    </row>
    <row r="26" spans="1:10" ht="13.8">
      <c r="A26" s="23" t="s">
        <v>38</v>
      </c>
      <c r="B26" s="56">
        <f>J22</f>
        <v>340.786</v>
      </c>
      <c r="C26" s="7">
        <v>4591.6390000000001</v>
      </c>
      <c r="D26" s="7">
        <f>(56516.5*1.10231)/1000</f>
        <v>62.298703114999995</v>
      </c>
      <c r="E26" s="7">
        <f>SUM(B26:D26)</f>
        <v>4994.7237031149998</v>
      </c>
      <c r="F26" s="7"/>
      <c r="G26" s="7">
        <f t="shared" ref="G26:G27" si="6">I26-H26</f>
        <v>3492.8933177700001</v>
      </c>
      <c r="H26" s="7">
        <f>(989149.5*1.10231)/1000</f>
        <v>1090.3493853449997</v>
      </c>
      <c r="I26" s="6">
        <f>E26-J26</f>
        <v>4583.242703115</v>
      </c>
      <c r="J26" s="7">
        <v>411.48099999999999</v>
      </c>
    </row>
    <row r="27" spans="1:10" ht="13.8">
      <c r="A27" s="17" t="s">
        <v>39</v>
      </c>
      <c r="B27" s="57">
        <f>J26</f>
        <v>411.48099999999999</v>
      </c>
      <c r="C27" s="48">
        <v>4469.7579999999998</v>
      </c>
      <c r="D27" s="48">
        <f>(33708.1*1.10231)/1000</f>
        <v>37.156775710999995</v>
      </c>
      <c r="E27" s="48">
        <f>SUM(B27:D27)</f>
        <v>4918.3957757109993</v>
      </c>
      <c r="F27" s="48"/>
      <c r="G27" s="48">
        <f t="shared" si="6"/>
        <v>3192.9212179979995</v>
      </c>
      <c r="H27" s="48">
        <f>(1203042.3*1.10231)/1000</f>
        <v>1326.1255577129998</v>
      </c>
      <c r="I27" s="64">
        <f>E27-J27</f>
        <v>4519.0467757109991</v>
      </c>
      <c r="J27" s="48">
        <v>399.34899999999999</v>
      </c>
    </row>
    <row r="28" spans="1:10" ht="16.2">
      <c r="A28" s="58" t="s">
        <v>169</v>
      </c>
      <c r="B28" s="19"/>
      <c r="C28" s="19"/>
      <c r="D28" s="19"/>
      <c r="E28" s="19"/>
      <c r="F28" s="19"/>
      <c r="G28" s="19"/>
      <c r="H28" s="19"/>
      <c r="I28" s="19"/>
      <c r="J28" s="19"/>
    </row>
    <row r="29" spans="1:10" ht="14.4">
      <c r="A29" s="19" t="s">
        <v>67</v>
      </c>
      <c r="B29" s="19"/>
      <c r="C29" s="19"/>
      <c r="D29" s="19"/>
      <c r="E29" s="19"/>
      <c r="F29" s="19"/>
      <c r="G29" s="19"/>
      <c r="H29" s="19"/>
      <c r="I29" s="19"/>
      <c r="J29" s="19"/>
    </row>
    <row r="30" spans="1:10" ht="13.8">
      <c r="A30" s="25" t="s">
        <v>56</v>
      </c>
      <c r="B30" s="50">
        <f ca="1">NOW()</f>
        <v>44574.626822685183</v>
      </c>
      <c r="C30" s="44"/>
      <c r="D30" s="38"/>
      <c r="E30" s="38"/>
      <c r="F30" s="38"/>
      <c r="G30" s="38"/>
      <c r="H30" s="38"/>
      <c r="I30" s="38"/>
      <c r="J30" s="38"/>
    </row>
    <row r="31" spans="1:10">
      <c r="A31" s="59"/>
      <c r="B31" s="60"/>
      <c r="C31" s="61"/>
      <c r="D31" s="60"/>
      <c r="E31" s="134"/>
      <c r="F31" s="60"/>
      <c r="G31" s="60"/>
      <c r="H31" s="62"/>
      <c r="I31" s="134"/>
      <c r="J31" s="60"/>
    </row>
    <row r="32" spans="1:10">
      <c r="A32" s="59"/>
      <c r="B32" s="60"/>
      <c r="C32" s="60"/>
      <c r="D32" s="60"/>
      <c r="E32" s="60"/>
      <c r="F32" s="60"/>
      <c r="G32" s="60"/>
      <c r="H32" s="60"/>
      <c r="I32" s="60"/>
      <c r="J32" s="60"/>
    </row>
    <row r="33" spans="1:10">
      <c r="A33" s="59"/>
      <c r="B33" s="59"/>
      <c r="C33" s="59"/>
      <c r="D33" s="59"/>
      <c r="E33" s="59"/>
      <c r="F33" s="59"/>
      <c r="G33" s="59"/>
      <c r="H33" s="59"/>
      <c r="I33" s="59"/>
      <c r="J33" s="59"/>
    </row>
    <row r="34" spans="1:10">
      <c r="A34" s="59"/>
      <c r="B34" s="59"/>
      <c r="C34" s="59"/>
      <c r="D34" s="59"/>
      <c r="E34" s="59"/>
      <c r="F34" s="59"/>
      <c r="G34" s="59"/>
      <c r="H34" s="59"/>
      <c r="I34" s="59"/>
      <c r="J34" s="59"/>
    </row>
  </sheetData>
  <mergeCells count="3">
    <mergeCell ref="G2:I2"/>
    <mergeCell ref="B5:J5"/>
    <mergeCell ref="B2:E2"/>
  </mergeCells>
  <phoneticPr fontId="11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31"/>
  <sheetViews>
    <sheetView showGridLines="0" zoomScale="70" zoomScaleNormal="70" workbookViewId="0"/>
  </sheetViews>
  <sheetFormatPr defaultColWidth="9.109375" defaultRowHeight="13.2"/>
  <cols>
    <col min="1" max="1" width="15.44140625" style="18" customWidth="1"/>
    <col min="2" max="2" width="12.33203125" style="18" bestFit="1" customWidth="1"/>
    <col min="3" max="3" width="11.6640625" style="18" bestFit="1" customWidth="1"/>
    <col min="4" max="4" width="11" style="18" bestFit="1" customWidth="1"/>
    <col min="5" max="5" width="11.33203125" style="18" bestFit="1" customWidth="1"/>
    <col min="6" max="6" width="3.6640625" style="18" customWidth="1"/>
    <col min="7" max="7" width="11.5546875" style="18" bestFit="1" customWidth="1"/>
    <col min="8" max="8" width="10.6640625" style="18" customWidth="1"/>
    <col min="9" max="9" width="12.6640625" style="18" customWidth="1"/>
    <col min="10" max="10" width="10.33203125" style="18" bestFit="1" customWidth="1"/>
    <col min="11" max="11" width="11.5546875" style="18" bestFit="1" customWidth="1"/>
    <col min="12" max="12" width="10.33203125" style="18" bestFit="1" customWidth="1"/>
    <col min="13" max="16384" width="9.109375" style="18"/>
  </cols>
  <sheetData>
    <row r="1" spans="1:13" ht="13.8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ht="13.8">
      <c r="A2" s="19"/>
      <c r="B2" s="159" t="s">
        <v>57</v>
      </c>
      <c r="C2" s="159"/>
      <c r="D2" s="159"/>
      <c r="E2" s="159"/>
      <c r="F2" s="23"/>
      <c r="G2" s="159" t="s">
        <v>58</v>
      </c>
      <c r="H2" s="159"/>
      <c r="I2" s="159"/>
      <c r="J2" s="141"/>
      <c r="K2" s="141"/>
      <c r="L2" s="19"/>
    </row>
    <row r="3" spans="1:13" ht="13.8">
      <c r="A3" s="19" t="s">
        <v>16</v>
      </c>
      <c r="B3" s="21" t="s">
        <v>68</v>
      </c>
      <c r="C3" s="40" t="s">
        <v>25</v>
      </c>
      <c r="D3" s="40" t="s">
        <v>69</v>
      </c>
      <c r="E3" s="40" t="s">
        <v>62</v>
      </c>
      <c r="F3" s="40"/>
      <c r="G3" s="141" t="s">
        <v>63</v>
      </c>
      <c r="H3" s="141"/>
      <c r="I3" s="141"/>
      <c r="J3" s="40" t="s">
        <v>70</v>
      </c>
      <c r="K3" s="40" t="s">
        <v>62</v>
      </c>
      <c r="L3" s="40" t="s">
        <v>59</v>
      </c>
    </row>
    <row r="4" spans="1:13" ht="16.2">
      <c r="A4" s="26" t="s">
        <v>60</v>
      </c>
      <c r="B4" s="28" t="s">
        <v>61</v>
      </c>
      <c r="C4" s="29"/>
      <c r="D4" s="29"/>
      <c r="E4" s="29"/>
      <c r="F4" s="29"/>
      <c r="G4" s="28" t="s">
        <v>27</v>
      </c>
      <c r="H4" s="28" t="s">
        <v>71</v>
      </c>
      <c r="I4" s="28" t="s">
        <v>72</v>
      </c>
      <c r="J4" s="29"/>
      <c r="K4" s="29"/>
      <c r="L4" s="40" t="s">
        <v>65</v>
      </c>
    </row>
    <row r="5" spans="1:13" ht="14.4">
      <c r="A5" s="19"/>
      <c r="B5" s="161" t="s">
        <v>73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1:13" ht="13.8">
      <c r="A6" s="19" t="s">
        <v>32</v>
      </c>
      <c r="B6" s="54">
        <v>1775.316</v>
      </c>
      <c r="C6" s="54">
        <v>24911.120999999996</v>
      </c>
      <c r="D6" s="54">
        <v>319.88668388040003</v>
      </c>
      <c r="E6" s="54">
        <v>27006.323683880393</v>
      </c>
      <c r="F6" s="54"/>
      <c r="G6" s="54">
        <v>22316.958470009602</v>
      </c>
      <c r="H6" s="54">
        <v>8657.8000000000011</v>
      </c>
      <c r="I6" s="37">
        <v>13659.158470009601</v>
      </c>
      <c r="J6" s="54">
        <v>2836.6902138707997</v>
      </c>
      <c r="K6" s="54">
        <v>25153.648683880405</v>
      </c>
      <c r="L6" s="54">
        <v>1852.675</v>
      </c>
      <c r="M6" s="124"/>
    </row>
    <row r="7" spans="1:13" ht="16.2">
      <c r="A7" s="19" t="s">
        <v>33</v>
      </c>
      <c r="B7" s="54">
        <f>L6</f>
        <v>1852.675</v>
      </c>
      <c r="C7" s="54">
        <f>C23</f>
        <v>25022.667000000001</v>
      </c>
      <c r="D7" s="54">
        <f>D23</f>
        <v>301.9644297936</v>
      </c>
      <c r="E7" s="54">
        <f>E23</f>
        <v>27177.3064297936</v>
      </c>
      <c r="F7" s="54"/>
      <c r="G7" s="54">
        <f>G23</f>
        <v>23322.575127803797</v>
      </c>
      <c r="H7" s="54">
        <f t="shared" ref="H7:J7" si="0">H23</f>
        <v>8849.5114432999999</v>
      </c>
      <c r="I7" s="37">
        <f t="shared" si="0"/>
        <v>14473.063684503799</v>
      </c>
      <c r="J7" s="54">
        <f t="shared" si="0"/>
        <v>1723.4983019897998</v>
      </c>
      <c r="K7" s="54">
        <f>E7-L7</f>
        <v>25046.0734297936</v>
      </c>
      <c r="L7" s="54">
        <f>L22</f>
        <v>2131.2330000000002</v>
      </c>
      <c r="M7" s="122"/>
    </row>
    <row r="8" spans="1:13" ht="16.2">
      <c r="A8" s="19" t="s">
        <v>34</v>
      </c>
      <c r="B8" s="54">
        <f>L7</f>
        <v>2131.2330000000002</v>
      </c>
      <c r="C8" s="54">
        <v>25910</v>
      </c>
      <c r="D8" s="54">
        <v>450</v>
      </c>
      <c r="E8" s="54">
        <f>SUM(B8:D8)</f>
        <v>28491.233</v>
      </c>
      <c r="F8" s="54"/>
      <c r="G8" s="54">
        <f>K8-J8</f>
        <v>25150</v>
      </c>
      <c r="H8" s="54">
        <v>11000</v>
      </c>
      <c r="I8" s="37">
        <f>G8-H8</f>
        <v>14150</v>
      </c>
      <c r="J8" s="54">
        <v>1425</v>
      </c>
      <c r="K8" s="54">
        <f>E8-L8</f>
        <v>26575</v>
      </c>
      <c r="L8" s="54">
        <v>1916.2330000000002</v>
      </c>
    </row>
    <row r="9" spans="1:13" ht="13.8">
      <c r="A9" s="19"/>
      <c r="B9" s="54"/>
      <c r="C9" s="54"/>
      <c r="D9" s="54"/>
      <c r="E9" s="54"/>
      <c r="F9" s="54"/>
      <c r="G9" s="54"/>
      <c r="H9" s="54"/>
      <c r="I9" s="123"/>
      <c r="J9" s="54"/>
      <c r="K9" s="54"/>
      <c r="L9" s="54"/>
    </row>
    <row r="10" spans="1:13" ht="13.8">
      <c r="A10" s="41" t="s">
        <v>36</v>
      </c>
      <c r="B10" s="63"/>
      <c r="C10" s="7"/>
      <c r="D10" s="7"/>
      <c r="E10" s="7"/>
      <c r="F10" s="6"/>
      <c r="G10" s="7"/>
      <c r="H10" s="7"/>
      <c r="I10" s="7"/>
      <c r="J10" s="7"/>
      <c r="K10" s="7"/>
      <c r="L10" s="6"/>
    </row>
    <row r="11" spans="1:13" ht="13.8">
      <c r="A11" s="23" t="s">
        <v>38</v>
      </c>
      <c r="B11" s="6">
        <v>1852.675</v>
      </c>
      <c r="C11" s="7">
        <v>2282.471</v>
      </c>
      <c r="D11" s="7">
        <f>(9279.7*2204.622)/1000000</f>
        <v>20.4582307734</v>
      </c>
      <c r="E11" s="7">
        <f t="shared" ref="E11:E17" si="1">SUM(B11:D11)</f>
        <v>4155.6042307733996</v>
      </c>
      <c r="F11" s="6"/>
      <c r="G11" s="6">
        <f t="shared" ref="G11:G17" si="2">K11-J11</f>
        <v>2002.3090817163998</v>
      </c>
      <c r="H11" s="7">
        <v>793.16669999999999</v>
      </c>
      <c r="I11" s="7">
        <f t="shared" ref="I11:I16" si="3">G11-H11</f>
        <v>1209.1423817163998</v>
      </c>
      <c r="J11" s="7">
        <f>(84043.5*2204.622)/1000000</f>
        <v>185.28414905699998</v>
      </c>
      <c r="K11" s="7">
        <f t="shared" ref="K11:K17" si="4">E11-L11</f>
        <v>2187.5932307733997</v>
      </c>
      <c r="L11" s="6">
        <v>1968.011</v>
      </c>
    </row>
    <row r="12" spans="1:13" ht="13.8">
      <c r="A12" s="23" t="s">
        <v>39</v>
      </c>
      <c r="B12" s="6">
        <f t="shared" ref="B12:B17" si="5">L11</f>
        <v>1968.011</v>
      </c>
      <c r="C12" s="7">
        <v>2206.7919999999999</v>
      </c>
      <c r="D12" s="7">
        <f>(9584.1*2204.622)/1000000</f>
        <v>21.129317710200002</v>
      </c>
      <c r="E12" s="7">
        <f t="shared" si="1"/>
        <v>4195.9323177101996</v>
      </c>
      <c r="F12" s="6"/>
      <c r="G12" s="6">
        <f t="shared" si="2"/>
        <v>1901.6370607625995</v>
      </c>
      <c r="H12" s="7">
        <v>753.16669999999999</v>
      </c>
      <c r="I12" s="7">
        <f t="shared" si="3"/>
        <v>1148.4703607625995</v>
      </c>
      <c r="J12" s="7">
        <f>(80375.8*2204.622)/1000000</f>
        <v>177.19825694760002</v>
      </c>
      <c r="K12" s="7">
        <f t="shared" si="4"/>
        <v>2078.8353177101994</v>
      </c>
      <c r="L12" s="6">
        <v>2117.0970000000002</v>
      </c>
    </row>
    <row r="13" spans="1:13" ht="13.8">
      <c r="A13" s="23" t="s">
        <v>41</v>
      </c>
      <c r="B13" s="6">
        <f t="shared" si="5"/>
        <v>2117.0970000000002</v>
      </c>
      <c r="C13" s="7">
        <v>2233.4859999999999</v>
      </c>
      <c r="D13" s="7">
        <f>(11454.4*2204.622)/1000000</f>
        <v>25.252622236799997</v>
      </c>
      <c r="E13" s="7">
        <f t="shared" si="1"/>
        <v>4375.8356222368002</v>
      </c>
      <c r="F13" s="6"/>
      <c r="G13" s="6">
        <f t="shared" si="2"/>
        <v>2030.2426082694001</v>
      </c>
      <c r="H13" s="7">
        <v>814.16669999999999</v>
      </c>
      <c r="I13" s="7">
        <f t="shared" si="3"/>
        <v>1216.0759082694001</v>
      </c>
      <c r="J13" s="7">
        <f>(106506.7*2204.622)/1000000</f>
        <v>234.8070139674</v>
      </c>
      <c r="K13" s="7">
        <f t="shared" si="4"/>
        <v>2265.0496222368001</v>
      </c>
      <c r="L13" s="6">
        <v>2110.7860000000001</v>
      </c>
    </row>
    <row r="14" spans="1:13" ht="13.8">
      <c r="A14" s="23" t="s">
        <v>42</v>
      </c>
      <c r="B14" s="6">
        <f t="shared" si="5"/>
        <v>2110.7860000000001</v>
      </c>
      <c r="C14" s="7">
        <v>2308.752</v>
      </c>
      <c r="D14" s="7">
        <f>(8609.5*2204.622)/1000000</f>
        <v>18.980693108999997</v>
      </c>
      <c r="E14" s="7">
        <f t="shared" si="1"/>
        <v>4438.5186931090002</v>
      </c>
      <c r="F14" s="6"/>
      <c r="G14" s="6">
        <f t="shared" si="2"/>
        <v>1804.6869535148003</v>
      </c>
      <c r="H14" s="7">
        <v>682.87599999999998</v>
      </c>
      <c r="I14" s="7">
        <f t="shared" si="3"/>
        <v>1121.8109535148003</v>
      </c>
      <c r="J14" s="7">
        <f>(148706.1*2204.622)/1000000</f>
        <v>327.84073959419999</v>
      </c>
      <c r="K14" s="7">
        <f t="shared" si="4"/>
        <v>2132.5276931090002</v>
      </c>
      <c r="L14" s="6">
        <v>2305.991</v>
      </c>
    </row>
    <row r="15" spans="1:13" ht="13.8">
      <c r="A15" s="23" t="s">
        <v>43</v>
      </c>
      <c r="B15" s="6">
        <f t="shared" si="5"/>
        <v>2305.991</v>
      </c>
      <c r="C15" s="7">
        <v>1924.749</v>
      </c>
      <c r="D15" s="7">
        <f>(9711.7*2204.622)/1000000</f>
        <v>21.410627477400002</v>
      </c>
      <c r="E15" s="7">
        <f t="shared" si="1"/>
        <v>4252.1506274774001</v>
      </c>
      <c r="F15" s="6"/>
      <c r="G15" s="6">
        <f t="shared" si="2"/>
        <v>1690.1760304182003</v>
      </c>
      <c r="H15" s="7">
        <v>552.22799999999995</v>
      </c>
      <c r="I15" s="7">
        <f t="shared" si="3"/>
        <v>1137.9480304182002</v>
      </c>
      <c r="J15" s="7">
        <f>(116113.6*2204.622)/1000000</f>
        <v>255.98659705919999</v>
      </c>
      <c r="K15" s="7">
        <f t="shared" si="4"/>
        <v>1946.1626274774003</v>
      </c>
      <c r="L15" s="6">
        <v>2305.9879999999998</v>
      </c>
    </row>
    <row r="16" spans="1:13" ht="13.8">
      <c r="A16" s="23" t="s">
        <v>45</v>
      </c>
      <c r="B16" s="6">
        <f t="shared" si="5"/>
        <v>2305.9879999999998</v>
      </c>
      <c r="C16" s="7">
        <v>2222.123</v>
      </c>
      <c r="D16" s="7">
        <f>(9636.1*2204.622)/1000000</f>
        <v>21.2439580542</v>
      </c>
      <c r="E16" s="7">
        <f t="shared" si="1"/>
        <v>4549.3549580542003</v>
      </c>
      <c r="F16" s="6"/>
      <c r="G16" s="6">
        <f t="shared" si="2"/>
        <v>2148.2428110598007</v>
      </c>
      <c r="H16" s="7">
        <v>740.35334330000001</v>
      </c>
      <c r="I16" s="7">
        <f t="shared" si="3"/>
        <v>1407.8894677598007</v>
      </c>
      <c r="J16" s="7">
        <f>(70685.2*2204.622)/1000000</f>
        <v>155.83414699439999</v>
      </c>
      <c r="K16" s="7">
        <f t="shared" si="4"/>
        <v>2304.0769580542005</v>
      </c>
      <c r="L16" s="6">
        <v>2245.2779999999998</v>
      </c>
    </row>
    <row r="17" spans="1:14" ht="13.8">
      <c r="A17" s="23" t="s">
        <v>46</v>
      </c>
      <c r="B17" s="6">
        <f t="shared" si="5"/>
        <v>2245.2779999999998</v>
      </c>
      <c r="C17" s="7">
        <v>1991.877</v>
      </c>
      <c r="D17" s="7">
        <f>(9275.9*2204.622)/1000000</f>
        <v>20.449853209799997</v>
      </c>
      <c r="E17" s="7">
        <f t="shared" si="1"/>
        <v>4257.6048532097993</v>
      </c>
      <c r="F17" s="6"/>
      <c r="G17" s="6">
        <f t="shared" si="2"/>
        <v>1950.4084486029992</v>
      </c>
      <c r="H17" s="7">
        <v>699.93299999999999</v>
      </c>
      <c r="I17" s="7">
        <f t="shared" ref="I17:I22" si="6">G17-H17</f>
        <v>1250.4754486029992</v>
      </c>
      <c r="J17" s="7">
        <f>(58789.4*2204.622)/1000000</f>
        <v>129.60840460679998</v>
      </c>
      <c r="K17" s="7">
        <f t="shared" si="4"/>
        <v>2080.0168532097991</v>
      </c>
      <c r="L17" s="6">
        <v>2177.5880000000002</v>
      </c>
    </row>
    <row r="18" spans="1:14" ht="13.8">
      <c r="A18" s="23" t="s">
        <v>47</v>
      </c>
      <c r="B18" s="6">
        <f t="shared" ref="B18" si="7">L17</f>
        <v>2177.5880000000002</v>
      </c>
      <c r="C18" s="7">
        <v>2043.135</v>
      </c>
      <c r="D18" s="7">
        <f>(7517.3*2204.622)/1000000</f>
        <v>16.572804960599999</v>
      </c>
      <c r="E18" s="7">
        <f t="shared" ref="E18:E22" si="8">SUM(B18:D18)</f>
        <v>4237.2958049605995</v>
      </c>
      <c r="F18" s="6"/>
      <c r="G18" s="6">
        <f>K18-J18</f>
        <v>2019.0822001577997</v>
      </c>
      <c r="H18" s="7">
        <v>787.56200000000001</v>
      </c>
      <c r="I18" s="7">
        <f t="shared" si="6"/>
        <v>1231.5202001577995</v>
      </c>
      <c r="J18" s="7">
        <f>(32307.4*2204.622)/1000000</f>
        <v>71.225604802800007</v>
      </c>
      <c r="K18" s="7">
        <f>E18-L18</f>
        <v>2090.3078049605997</v>
      </c>
      <c r="L18" s="6">
        <v>2146.9879999999998</v>
      </c>
    </row>
    <row r="19" spans="1:14" ht="13.8">
      <c r="A19" s="23" t="s">
        <v>49</v>
      </c>
      <c r="B19" s="6">
        <f>L18</f>
        <v>2146.9879999999998</v>
      </c>
      <c r="C19" s="7">
        <v>1908.6489999999999</v>
      </c>
      <c r="D19" s="7">
        <f>(11859.1*2204.622)/1000000</f>
        <v>26.144832760199996</v>
      </c>
      <c r="E19" s="7">
        <f t="shared" si="8"/>
        <v>4081.7818327601999</v>
      </c>
      <c r="F19" s="6"/>
      <c r="G19" s="6">
        <f>K19-J19</f>
        <v>1889.5260091224</v>
      </c>
      <c r="H19" s="7">
        <v>663.33</v>
      </c>
      <c r="I19" s="7">
        <f t="shared" si="6"/>
        <v>1226.1960091224</v>
      </c>
      <c r="J19" s="7">
        <f>(41549.9*2204.622)/1000000</f>
        <v>91.601823637799995</v>
      </c>
      <c r="K19" s="7">
        <f>E19-L19</f>
        <v>1981.1278327601999</v>
      </c>
      <c r="L19" s="6">
        <v>2100.654</v>
      </c>
    </row>
    <row r="20" spans="1:14" ht="13.8">
      <c r="A20" s="23" t="s">
        <v>50</v>
      </c>
      <c r="B20" s="6">
        <f>L19</f>
        <v>2100.654</v>
      </c>
      <c r="C20" s="7">
        <v>1972.6880000000001</v>
      </c>
      <c r="D20" s="7">
        <f>(14714.2*2204.622)/1000000</f>
        <v>32.439249032399999</v>
      </c>
      <c r="E20" s="7">
        <f t="shared" si="8"/>
        <v>4105.7812490324004</v>
      </c>
      <c r="F20" s="6"/>
      <c r="G20" s="6">
        <f>K20-J20</f>
        <v>1999.9908670466004</v>
      </c>
      <c r="H20" s="7">
        <v>791.97900000000004</v>
      </c>
      <c r="I20" s="7">
        <f t="shared" si="6"/>
        <v>1208.0118670466004</v>
      </c>
      <c r="J20" s="7">
        <f>(16183.9*2204.622)/1000000</f>
        <v>35.679381985799999</v>
      </c>
      <c r="K20" s="7">
        <f>E20-L20</f>
        <v>2035.6702490324005</v>
      </c>
      <c r="L20" s="6">
        <v>2070.1109999999999</v>
      </c>
    </row>
    <row r="21" spans="1:14" ht="13.8">
      <c r="A21" s="23" t="s">
        <v>51</v>
      </c>
      <c r="B21" s="6">
        <f>L20</f>
        <v>2070.1109999999999</v>
      </c>
      <c r="C21" s="7">
        <v>1989.7329999999999</v>
      </c>
      <c r="D21" s="7">
        <f>(19317.4*2204.622)/1000000</f>
        <v>42.5875650228</v>
      </c>
      <c r="E21" s="7">
        <f t="shared" si="8"/>
        <v>4102.4315650228</v>
      </c>
      <c r="F21" s="6"/>
      <c r="G21" s="6">
        <f>K21-J21</f>
        <v>1894.4255643878003</v>
      </c>
      <c r="H21" s="7">
        <v>814.73500000000001</v>
      </c>
      <c r="I21" s="7">
        <f t="shared" si="6"/>
        <v>1079.6905643878004</v>
      </c>
      <c r="J21" s="7">
        <f>(11142.5*2204.622)/1000000</f>
        <v>24.565000634999997</v>
      </c>
      <c r="K21" s="7">
        <f>E21-L21</f>
        <v>1918.9905650228002</v>
      </c>
      <c r="L21" s="6">
        <v>2183.4409999999998</v>
      </c>
    </row>
    <row r="22" spans="1:14" ht="13.8">
      <c r="A22" s="23" t="s">
        <v>37</v>
      </c>
      <c r="B22" s="6">
        <f>L21</f>
        <v>2183.4409999999998</v>
      </c>
      <c r="C22" s="7">
        <v>1938.212</v>
      </c>
      <c r="D22" s="7">
        <f>(16009.4*2204.622)/1000000</f>
        <v>35.294675446799992</v>
      </c>
      <c r="E22" s="7">
        <f t="shared" si="8"/>
        <v>4156.9476754468005</v>
      </c>
      <c r="F22" s="6"/>
      <c r="G22" s="6">
        <f>K22-J22</f>
        <v>1991.8474927450004</v>
      </c>
      <c r="H22" s="7">
        <v>756.01499999999999</v>
      </c>
      <c r="I22" s="7">
        <f t="shared" si="6"/>
        <v>1235.8324927450003</v>
      </c>
      <c r="J22" s="7">
        <f>(15361.9*2204.622)/1000000</f>
        <v>33.867182701799997</v>
      </c>
      <c r="K22" s="7">
        <f>E22-L22</f>
        <v>2025.7146754468004</v>
      </c>
      <c r="L22" s="6">
        <v>2131.2330000000002</v>
      </c>
      <c r="N22" s="46"/>
    </row>
    <row r="23" spans="1:14" ht="13.8">
      <c r="A23" s="23" t="s">
        <v>27</v>
      </c>
      <c r="B23" s="6"/>
      <c r="C23" s="7">
        <f>SUM(C11:C22)</f>
        <v>25022.667000000001</v>
      </c>
      <c r="D23" s="7">
        <f>SUM(D11:D22)</f>
        <v>301.9644297936</v>
      </c>
      <c r="E23" s="7">
        <f>B11+C23+D23</f>
        <v>27177.3064297936</v>
      </c>
      <c r="F23" s="6"/>
      <c r="G23" s="6">
        <f>SUM(G11:G22)</f>
        <v>23322.575127803797</v>
      </c>
      <c r="H23" s="7">
        <f>SUM(H11:H22)</f>
        <v>8849.5114432999999</v>
      </c>
      <c r="I23" s="7">
        <f>SUM(I11:I22)</f>
        <v>14473.063684503799</v>
      </c>
      <c r="J23" s="7">
        <f>SUM(J11:J22)</f>
        <v>1723.4983019897998</v>
      </c>
      <c r="K23" s="6">
        <f>SUM(K11:K22)</f>
        <v>25046.0734297936</v>
      </c>
      <c r="L23" s="6"/>
    </row>
    <row r="24" spans="1:14" ht="13.8">
      <c r="A24" s="23"/>
      <c r="B24" s="6"/>
      <c r="C24" s="7"/>
      <c r="D24" s="7"/>
      <c r="E24" s="7"/>
      <c r="F24" s="6"/>
      <c r="G24" s="6"/>
      <c r="H24" s="7"/>
      <c r="I24" s="7"/>
      <c r="J24" s="7"/>
      <c r="K24" s="6"/>
      <c r="L24" s="6"/>
    </row>
    <row r="25" spans="1:14" ht="13.8">
      <c r="A25" s="41" t="s">
        <v>53</v>
      </c>
      <c r="B25" s="6"/>
      <c r="C25" s="7"/>
      <c r="D25" s="7"/>
      <c r="E25" s="7"/>
      <c r="F25" s="6"/>
      <c r="G25" s="6"/>
      <c r="H25" s="7"/>
      <c r="I25" s="7"/>
      <c r="J25" s="7"/>
      <c r="K25" s="6"/>
      <c r="L25" s="6"/>
    </row>
    <row r="26" spans="1:14" ht="13.8">
      <c r="A26" s="23" t="s">
        <v>38</v>
      </c>
      <c r="B26" s="6">
        <f>L22</f>
        <v>2131.2330000000002</v>
      </c>
      <c r="C26" s="7">
        <v>2347.58</v>
      </c>
      <c r="D26" s="7">
        <f>(15994.4*2204.622)/1000000</f>
        <v>35.261606116799996</v>
      </c>
      <c r="E26" s="7">
        <f t="shared" ref="E26:E27" si="9">SUM(B26:D26)</f>
        <v>4514.0746061168002</v>
      </c>
      <c r="F26" s="6"/>
      <c r="G26" s="6">
        <f>K26-J26</f>
        <v>2070.5737418166</v>
      </c>
      <c r="H26" s="7">
        <v>832.42700000000002</v>
      </c>
      <c r="I26" s="7">
        <f t="shared" ref="I26" si="10">G26-H26</f>
        <v>1238.1467418165998</v>
      </c>
      <c r="J26" s="7">
        <f>(25929.1*2204.622)/1000000</f>
        <v>57.16386430019999</v>
      </c>
      <c r="K26" s="7">
        <f>E26-L26</f>
        <v>2127.7376061168002</v>
      </c>
      <c r="L26" s="6">
        <v>2386.337</v>
      </c>
    </row>
    <row r="27" spans="1:14" ht="13.8">
      <c r="A27" s="17" t="s">
        <v>39</v>
      </c>
      <c r="B27" s="64">
        <f>L26</f>
        <v>2386.337</v>
      </c>
      <c r="C27" s="48">
        <v>2248.2159999999999</v>
      </c>
      <c r="D27" s="48">
        <f>(15494*2204.622)/1000000</f>
        <v>34.158413267999997</v>
      </c>
      <c r="E27" s="48">
        <f t="shared" si="9"/>
        <v>4668.7114132679999</v>
      </c>
      <c r="F27" s="64"/>
      <c r="G27" s="64">
        <f>K27-J27</f>
        <v>1999.5982733037999</v>
      </c>
      <c r="H27" s="48" t="s">
        <v>74</v>
      </c>
      <c r="I27" s="48" t="s">
        <v>74</v>
      </c>
      <c r="J27" s="48">
        <f>(115041.1*2204.622)/1000000</f>
        <v>253.62213996419999</v>
      </c>
      <c r="K27" s="48">
        <f>E27-L27</f>
        <v>2253.2204132679999</v>
      </c>
      <c r="L27" s="64">
        <v>2415.491</v>
      </c>
    </row>
    <row r="28" spans="1:14" ht="16.2">
      <c r="A28" s="58" t="s">
        <v>170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</row>
    <row r="29" spans="1:14" ht="14.4">
      <c r="A29" s="19" t="s">
        <v>67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4" ht="13.8">
      <c r="A30" s="25" t="s">
        <v>56</v>
      </c>
      <c r="B30" s="50">
        <f ca="1">NOW()</f>
        <v>44574.626822569444</v>
      </c>
      <c r="K30" s="46"/>
    </row>
    <row r="31" spans="1:14">
      <c r="E31" s="46"/>
    </row>
  </sheetData>
  <mergeCells count="3">
    <mergeCell ref="B5:L5"/>
    <mergeCell ref="G2:I2"/>
    <mergeCell ref="B2:E2"/>
  </mergeCells>
  <phoneticPr fontId="11" type="noConversion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4"/>
  <sheetViews>
    <sheetView showGridLines="0" zoomScale="70" zoomScaleNormal="70" workbookViewId="0"/>
  </sheetViews>
  <sheetFormatPr defaultColWidth="9.109375" defaultRowHeight="13.2"/>
  <cols>
    <col min="1" max="1" width="15.33203125" style="18" customWidth="1"/>
    <col min="2" max="2" width="13.109375" style="18" customWidth="1"/>
    <col min="3" max="3" width="12.109375" style="18" customWidth="1"/>
    <col min="4" max="4" width="13.44140625" style="18" customWidth="1"/>
    <col min="5" max="5" width="15.33203125" style="18" customWidth="1"/>
    <col min="6" max="6" width="10.5546875" style="18" customWidth="1"/>
    <col min="7" max="7" width="11.6640625" style="18" customWidth="1"/>
    <col min="8" max="8" width="8.6640625" style="18" customWidth="1"/>
    <col min="9" max="9" width="9.6640625" style="18" customWidth="1"/>
    <col min="10" max="11" width="7.6640625" style="18" customWidth="1"/>
    <col min="12" max="12" width="8.5546875" style="18" customWidth="1"/>
    <col min="13" max="13" width="9.5546875" style="18" customWidth="1"/>
    <col min="14" max="15" width="7.5546875" style="18" customWidth="1"/>
    <col min="16" max="18" width="9.109375" style="18"/>
    <col min="19" max="19" width="17.44140625" style="18" bestFit="1" customWidth="1"/>
    <col min="20" max="20" width="9.109375" style="18"/>
    <col min="21" max="21" width="28.33203125" style="18" bestFit="1" customWidth="1"/>
    <col min="22" max="16384" width="9.109375" style="18"/>
  </cols>
  <sheetData>
    <row r="1" spans="1:15" ht="13.8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9"/>
      <c r="M1" s="19"/>
      <c r="N1" s="19"/>
      <c r="O1" s="19"/>
    </row>
    <row r="2" spans="1:15" ht="13.8">
      <c r="A2" s="19"/>
      <c r="B2" s="159" t="s">
        <v>57</v>
      </c>
      <c r="C2" s="159"/>
      <c r="D2" s="159"/>
      <c r="E2" s="159"/>
      <c r="F2" s="100"/>
      <c r="G2" s="159" t="s">
        <v>58</v>
      </c>
      <c r="H2" s="159"/>
      <c r="I2" s="159"/>
      <c r="J2" s="159"/>
      <c r="K2" s="100"/>
      <c r="L2" s="19"/>
      <c r="M2" s="19"/>
      <c r="N2" s="19"/>
      <c r="O2" s="19"/>
    </row>
    <row r="3" spans="1:15" ht="13.8">
      <c r="A3" s="19" t="s">
        <v>16</v>
      </c>
      <c r="B3" s="25" t="s">
        <v>68</v>
      </c>
      <c r="C3" s="25"/>
      <c r="D3" s="25"/>
      <c r="E3" s="25"/>
      <c r="F3" s="101"/>
      <c r="G3" s="25"/>
      <c r="H3" s="25"/>
      <c r="I3" s="25"/>
      <c r="J3" s="25"/>
      <c r="K3" s="21" t="s">
        <v>59</v>
      </c>
      <c r="L3" s="19"/>
      <c r="M3" s="19"/>
      <c r="N3" s="19"/>
      <c r="O3" s="19"/>
    </row>
    <row r="4" spans="1:15" ht="13.8">
      <c r="A4" s="26" t="s">
        <v>75</v>
      </c>
      <c r="B4" s="28" t="s">
        <v>76</v>
      </c>
      <c r="C4" s="78" t="s">
        <v>25</v>
      </c>
      <c r="D4" s="30" t="s">
        <v>69</v>
      </c>
      <c r="E4" s="28" t="s">
        <v>77</v>
      </c>
      <c r="F4" s="29"/>
      <c r="G4" s="28" t="s">
        <v>78</v>
      </c>
      <c r="H4" s="28" t="s">
        <v>28</v>
      </c>
      <c r="I4" s="28" t="s">
        <v>79</v>
      </c>
      <c r="J4" s="28" t="s">
        <v>80</v>
      </c>
      <c r="K4" s="28" t="s">
        <v>61</v>
      </c>
      <c r="L4" s="19"/>
      <c r="M4" s="19"/>
      <c r="N4" s="19"/>
      <c r="O4" s="19"/>
    </row>
    <row r="5" spans="1:15" ht="14.4">
      <c r="A5" s="19"/>
      <c r="B5" s="164" t="s">
        <v>81</v>
      </c>
      <c r="C5" s="164"/>
      <c r="D5" s="164"/>
      <c r="E5" s="164"/>
      <c r="F5" s="164"/>
      <c r="G5" s="164"/>
      <c r="H5" s="164"/>
      <c r="I5" s="164"/>
      <c r="J5" s="164"/>
      <c r="K5" s="164"/>
      <c r="L5" s="19"/>
      <c r="M5" s="19"/>
      <c r="N5" s="19"/>
      <c r="O5" s="19"/>
    </row>
    <row r="6" spans="1:15" ht="13.8">
      <c r="A6" s="19" t="s">
        <v>32</v>
      </c>
      <c r="B6" s="102">
        <v>476.97603460691334</v>
      </c>
      <c r="C6" s="102">
        <v>5945</v>
      </c>
      <c r="D6" s="103">
        <v>1.0880000000000001</v>
      </c>
      <c r="E6" s="102">
        <v>6423.0879999999997</v>
      </c>
      <c r="F6" s="104"/>
      <c r="G6" s="102">
        <v>1712.01</v>
      </c>
      <c r="H6" s="105">
        <v>340.64748459156186</v>
      </c>
      <c r="I6" s="102">
        <v>3914.4</v>
      </c>
      <c r="J6" s="106">
        <f>E6-K6</f>
        <v>5967.0811380282848</v>
      </c>
      <c r="K6" s="102">
        <v>456.0068619717149</v>
      </c>
      <c r="L6" s="19"/>
      <c r="M6" s="19"/>
      <c r="N6" s="19"/>
      <c r="O6" s="19"/>
    </row>
    <row r="7" spans="1:15" ht="16.2">
      <c r="A7" s="23" t="s">
        <v>33</v>
      </c>
      <c r="B7" s="106">
        <f>K6</f>
        <v>456.0068619717149</v>
      </c>
      <c r="C7" s="106">
        <v>4435</v>
      </c>
      <c r="D7" s="107">
        <v>1</v>
      </c>
      <c r="E7" s="106">
        <f>B7+C7+D7</f>
        <v>4892.0068619717149</v>
      </c>
      <c r="F7" s="108"/>
      <c r="G7" s="106">
        <v>1562.7429999999999</v>
      </c>
      <c r="H7" s="109">
        <v>282.68453874670092</v>
      </c>
      <c r="I7" s="106">
        <v>2687</v>
      </c>
      <c r="J7" s="106">
        <f>E7-K7</f>
        <v>4532.4953140718344</v>
      </c>
      <c r="K7" s="106">
        <v>359.5115478998805</v>
      </c>
      <c r="L7" s="19"/>
      <c r="M7" s="19"/>
      <c r="N7" s="19"/>
      <c r="O7" s="19"/>
    </row>
    <row r="8" spans="1:15" ht="16.2">
      <c r="A8" s="17" t="s">
        <v>34</v>
      </c>
      <c r="B8" s="110">
        <f>K7</f>
        <v>359.5115478998805</v>
      </c>
      <c r="C8" s="110">
        <v>5377</v>
      </c>
      <c r="D8" s="111">
        <v>30</v>
      </c>
      <c r="E8" s="110">
        <f>B8+C8+D8</f>
        <v>5766.5115478998805</v>
      </c>
      <c r="F8" s="112"/>
      <c r="G8" s="110">
        <v>1500</v>
      </c>
      <c r="H8" s="113">
        <v>250</v>
      </c>
      <c r="I8" s="110">
        <v>3621.2</v>
      </c>
      <c r="J8" s="110">
        <f>E8-K8</f>
        <v>5371.2</v>
      </c>
      <c r="K8" s="110">
        <v>395.31154789988068</v>
      </c>
      <c r="L8" s="19"/>
      <c r="M8" s="19"/>
      <c r="N8" s="19"/>
      <c r="O8" s="19"/>
    </row>
    <row r="9" spans="1:15" ht="16.2">
      <c r="A9" s="58" t="s">
        <v>82</v>
      </c>
      <c r="B9" s="19"/>
      <c r="C9" s="104"/>
      <c r="D9" s="104"/>
      <c r="E9" s="104"/>
      <c r="F9" s="104"/>
      <c r="G9" s="114"/>
      <c r="H9" s="104"/>
      <c r="I9" s="104"/>
      <c r="J9" s="104"/>
      <c r="K9" s="19"/>
      <c r="L9" s="19"/>
      <c r="M9" s="19"/>
      <c r="N9" s="19"/>
      <c r="O9" s="19"/>
    </row>
    <row r="10" spans="1:15" ht="14.4">
      <c r="A10" s="19" t="s">
        <v>83</v>
      </c>
      <c r="B10" s="38"/>
      <c r="C10" s="44"/>
      <c r="D10" s="19"/>
      <c r="E10" s="38"/>
      <c r="F10" s="38"/>
      <c r="G10" s="38"/>
      <c r="H10" s="38"/>
      <c r="I10" s="38"/>
      <c r="J10" s="38"/>
      <c r="K10" s="19"/>
      <c r="L10" s="19"/>
      <c r="M10" s="19"/>
      <c r="N10" s="19"/>
      <c r="O10" s="19"/>
    </row>
    <row r="11" spans="1:15" ht="14.4">
      <c r="A11" s="19" t="s">
        <v>84</v>
      </c>
      <c r="B11" s="38"/>
      <c r="C11" s="44"/>
      <c r="D11" s="19"/>
      <c r="E11" s="38"/>
      <c r="F11" s="38"/>
      <c r="G11" s="38"/>
      <c r="H11" s="38"/>
      <c r="I11" s="38"/>
      <c r="J11" s="38"/>
      <c r="K11" s="19"/>
      <c r="L11" s="19"/>
      <c r="M11" s="19"/>
      <c r="N11" s="19"/>
      <c r="O11" s="19"/>
    </row>
    <row r="12" spans="1:15" ht="13.8">
      <c r="A12" s="19"/>
      <c r="B12" s="38"/>
      <c r="C12" s="44"/>
      <c r="D12" s="19"/>
      <c r="E12" s="38"/>
      <c r="F12" s="38"/>
      <c r="G12" s="38"/>
      <c r="H12" s="38"/>
      <c r="I12" s="38"/>
      <c r="J12" s="38"/>
      <c r="K12" s="19"/>
      <c r="L12" s="19"/>
      <c r="M12" s="19"/>
      <c r="N12" s="19"/>
      <c r="O12" s="19"/>
    </row>
    <row r="13" spans="1:15" ht="13.8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3.8">
      <c r="A14" s="17" t="s">
        <v>5</v>
      </c>
      <c r="B14" s="17"/>
      <c r="C14" s="17"/>
      <c r="D14" s="17"/>
      <c r="E14" s="17"/>
      <c r="F14" s="17"/>
      <c r="G14" s="17"/>
      <c r="H14" s="17"/>
      <c r="I14" s="19"/>
      <c r="J14" s="17"/>
      <c r="K14" s="19"/>
      <c r="L14" s="19"/>
      <c r="M14" s="19"/>
      <c r="N14" s="19"/>
      <c r="O14" s="19"/>
    </row>
    <row r="15" spans="1:15" ht="13.8">
      <c r="A15" s="19"/>
      <c r="B15" s="159" t="s">
        <v>57</v>
      </c>
      <c r="C15" s="159"/>
      <c r="D15" s="159"/>
      <c r="E15" s="159"/>
      <c r="F15" s="19"/>
      <c r="G15" s="159" t="s">
        <v>58</v>
      </c>
      <c r="H15" s="159"/>
      <c r="I15" s="159"/>
      <c r="J15" s="19"/>
      <c r="K15" s="19"/>
      <c r="L15" s="19"/>
      <c r="M15" s="19"/>
      <c r="N15" s="19"/>
      <c r="O15" s="19"/>
    </row>
    <row r="16" spans="1:15" ht="13.8">
      <c r="A16" s="19" t="s">
        <v>16</v>
      </c>
      <c r="B16" s="21" t="s">
        <v>68</v>
      </c>
      <c r="C16" s="25"/>
      <c r="D16" s="25"/>
      <c r="E16" s="25"/>
      <c r="F16" s="25"/>
      <c r="G16" s="25"/>
      <c r="H16" s="25"/>
      <c r="I16" s="25"/>
      <c r="J16" s="21" t="s">
        <v>59</v>
      </c>
      <c r="K16" s="19"/>
      <c r="L16" s="19"/>
      <c r="M16" s="19"/>
      <c r="N16" s="19"/>
      <c r="O16" s="19"/>
    </row>
    <row r="17" spans="1:15" ht="13.8">
      <c r="A17" s="26" t="s">
        <v>60</v>
      </c>
      <c r="B17" s="28" t="s">
        <v>61</v>
      </c>
      <c r="C17" s="78" t="s">
        <v>25</v>
      </c>
      <c r="D17" s="30" t="s">
        <v>69</v>
      </c>
      <c r="E17" s="28" t="s">
        <v>80</v>
      </c>
      <c r="F17" s="29"/>
      <c r="G17" s="106" t="s">
        <v>85</v>
      </c>
      <c r="H17" s="28" t="s">
        <v>28</v>
      </c>
      <c r="I17" s="30" t="s">
        <v>62</v>
      </c>
      <c r="J17" s="28" t="s">
        <v>61</v>
      </c>
      <c r="K17" s="19"/>
      <c r="L17" s="19"/>
      <c r="M17" s="19"/>
      <c r="N17" s="19"/>
      <c r="O17" s="19"/>
    </row>
    <row r="18" spans="1:15" ht="14.4">
      <c r="A18" s="19"/>
      <c r="B18" s="164" t="s">
        <v>86</v>
      </c>
      <c r="C18" s="164"/>
      <c r="D18" s="164"/>
      <c r="E18" s="164"/>
      <c r="F18" s="164"/>
      <c r="G18" s="164"/>
      <c r="H18" s="164"/>
      <c r="I18" s="164"/>
      <c r="J18" s="164"/>
      <c r="K18" s="19"/>
      <c r="L18" s="19"/>
      <c r="M18" s="19"/>
      <c r="N18" s="19"/>
      <c r="O18" s="19"/>
    </row>
    <row r="19" spans="1:15" ht="13.8">
      <c r="A19" s="19" t="s">
        <v>32</v>
      </c>
      <c r="B19" s="102">
        <v>43</v>
      </c>
      <c r="C19" s="105">
        <v>779.976</v>
      </c>
      <c r="D19" s="103">
        <v>0</v>
      </c>
      <c r="E19" s="105">
        <v>822.976</v>
      </c>
      <c r="F19" s="19"/>
      <c r="G19" s="105">
        <v>688.44474810762813</v>
      </c>
      <c r="H19" s="105">
        <v>109.65925189237197</v>
      </c>
      <c r="I19" s="109">
        <f>SUM(G19:H19)</f>
        <v>798.10400000000004</v>
      </c>
      <c r="J19" s="102">
        <v>24.872</v>
      </c>
      <c r="K19" s="19"/>
      <c r="L19" s="19"/>
      <c r="M19" s="19"/>
      <c r="N19" s="19"/>
      <c r="O19" s="19"/>
    </row>
    <row r="20" spans="1:15" ht="16.2">
      <c r="A20" s="23" t="s">
        <v>33</v>
      </c>
      <c r="B20" s="106">
        <f>J19</f>
        <v>24.872</v>
      </c>
      <c r="C20" s="109">
        <v>648.57100000000003</v>
      </c>
      <c r="D20" s="107">
        <v>0</v>
      </c>
      <c r="E20" s="109">
        <f>B20+C20+D20</f>
        <v>673.44299999999998</v>
      </c>
      <c r="F20" s="108"/>
      <c r="G20" s="109">
        <v>573.37749036166895</v>
      </c>
      <c r="H20" s="109">
        <v>60.759509638330982</v>
      </c>
      <c r="I20" s="109">
        <f>SUM(G20:H20)</f>
        <v>634.13699999999994</v>
      </c>
      <c r="J20" s="106">
        <v>39.305999999999997</v>
      </c>
      <c r="K20" s="19"/>
      <c r="L20" s="19"/>
      <c r="M20" s="19"/>
      <c r="N20" s="19"/>
      <c r="O20" s="19"/>
    </row>
    <row r="21" spans="1:15" ht="16.2">
      <c r="A21" s="17" t="s">
        <v>34</v>
      </c>
      <c r="B21" s="110">
        <f>J20</f>
        <v>39.305999999999997</v>
      </c>
      <c r="C21" s="113">
        <v>660</v>
      </c>
      <c r="D21" s="111">
        <v>0</v>
      </c>
      <c r="E21" s="113">
        <f>B21+C21+D21</f>
        <v>699.30600000000004</v>
      </c>
      <c r="F21" s="112"/>
      <c r="G21" s="113">
        <v>599.30600000000004</v>
      </c>
      <c r="H21" s="113">
        <v>75</v>
      </c>
      <c r="I21" s="113">
        <f>SUM(G21:H21)</f>
        <v>674.30600000000004</v>
      </c>
      <c r="J21" s="110">
        <v>25</v>
      </c>
      <c r="K21" s="19"/>
      <c r="L21" s="19"/>
      <c r="M21" s="19"/>
      <c r="N21" s="19"/>
      <c r="O21" s="19"/>
    </row>
    <row r="22" spans="1:15" ht="16.2">
      <c r="A22" s="58" t="s">
        <v>82</v>
      </c>
      <c r="B22" s="19"/>
      <c r="C22" s="104"/>
      <c r="D22" s="104"/>
      <c r="E22" s="104"/>
      <c r="F22" s="104"/>
      <c r="G22" s="104"/>
      <c r="H22" s="104"/>
      <c r="I22" s="19"/>
      <c r="J22" s="19"/>
      <c r="K22" s="19"/>
      <c r="L22" s="19"/>
      <c r="M22" s="19"/>
      <c r="N22" s="19"/>
      <c r="O22" s="19"/>
    </row>
    <row r="23" spans="1:15" ht="14.4">
      <c r="A23" s="19" t="s">
        <v>87</v>
      </c>
      <c r="B23" s="108"/>
      <c r="C23" s="108"/>
      <c r="D23" s="108"/>
      <c r="E23" s="108"/>
      <c r="F23" s="108"/>
      <c r="G23" s="108"/>
      <c r="H23" s="108"/>
      <c r="I23" s="19"/>
      <c r="J23" s="19"/>
      <c r="K23" s="19"/>
      <c r="L23" s="19"/>
      <c r="M23" s="19"/>
      <c r="N23" s="19"/>
      <c r="O23" s="19"/>
    </row>
    <row r="24" spans="1:15" ht="13.8">
      <c r="A24" s="23"/>
      <c r="B24" s="38"/>
      <c r="C24" s="38"/>
      <c r="D24" s="38"/>
      <c r="E24" s="38"/>
      <c r="F24" s="38"/>
      <c r="G24" s="38"/>
      <c r="H24" s="38"/>
      <c r="I24" s="19"/>
      <c r="J24" s="19"/>
      <c r="K24" s="19"/>
      <c r="L24" s="19"/>
      <c r="M24" s="19"/>
      <c r="N24" s="19"/>
      <c r="O24" s="19"/>
    </row>
    <row r="25" spans="1:15" ht="13.8">
      <c r="A25" s="23"/>
      <c r="B25" s="38"/>
      <c r="C25" s="44"/>
      <c r="D25" s="38"/>
      <c r="E25" s="38"/>
      <c r="F25" s="38"/>
      <c r="G25" s="38"/>
      <c r="H25" s="38"/>
      <c r="I25" s="19"/>
      <c r="J25" s="19"/>
      <c r="K25" s="19"/>
      <c r="L25" s="19"/>
      <c r="M25" s="19"/>
      <c r="N25" s="19"/>
      <c r="O25" s="19"/>
    </row>
    <row r="26" spans="1:15" ht="13.8">
      <c r="A26" s="17" t="s">
        <v>6</v>
      </c>
      <c r="B26" s="17"/>
      <c r="C26" s="17"/>
      <c r="D26" s="17"/>
      <c r="E26" s="17"/>
      <c r="F26" s="17"/>
      <c r="G26" s="17"/>
      <c r="H26" s="17"/>
      <c r="I26" s="19"/>
      <c r="J26" s="17"/>
      <c r="K26" s="19"/>
      <c r="L26" s="19"/>
      <c r="M26" s="19"/>
      <c r="N26" s="19"/>
      <c r="O26" s="19"/>
    </row>
    <row r="27" spans="1:15" ht="13.8">
      <c r="A27" s="19"/>
      <c r="B27" s="159" t="s">
        <v>57</v>
      </c>
      <c r="C27" s="159"/>
      <c r="D27" s="159"/>
      <c r="E27" s="159"/>
      <c r="F27" s="19"/>
      <c r="G27" s="159" t="s">
        <v>58</v>
      </c>
      <c r="H27" s="159"/>
      <c r="I27" s="159"/>
      <c r="J27" s="19"/>
      <c r="K27" s="19"/>
      <c r="L27" s="19"/>
      <c r="M27" s="19"/>
      <c r="N27" s="19"/>
      <c r="O27" s="19"/>
    </row>
    <row r="28" spans="1:15" ht="13.8">
      <c r="A28" s="19" t="s">
        <v>16</v>
      </c>
      <c r="B28" s="21" t="s">
        <v>68</v>
      </c>
      <c r="C28" s="25"/>
      <c r="D28" s="25"/>
      <c r="E28" s="25"/>
      <c r="F28" s="25"/>
      <c r="G28" s="25"/>
      <c r="H28" s="25"/>
      <c r="I28" s="25"/>
      <c r="J28" s="21" t="s">
        <v>59</v>
      </c>
      <c r="K28" s="19"/>
      <c r="L28" s="19"/>
      <c r="M28" s="19"/>
      <c r="N28" s="19"/>
      <c r="O28" s="19"/>
    </row>
    <row r="29" spans="1:15" ht="13.8">
      <c r="A29" s="26" t="s">
        <v>60</v>
      </c>
      <c r="B29" s="28" t="s">
        <v>61</v>
      </c>
      <c r="C29" s="28" t="s">
        <v>25</v>
      </c>
      <c r="D29" s="30" t="s">
        <v>69</v>
      </c>
      <c r="E29" s="28" t="s">
        <v>80</v>
      </c>
      <c r="F29" s="29"/>
      <c r="G29" s="28" t="s">
        <v>63</v>
      </c>
      <c r="H29" s="28" t="s">
        <v>28</v>
      </c>
      <c r="I29" s="28" t="s">
        <v>62</v>
      </c>
      <c r="J29" s="28" t="s">
        <v>65</v>
      </c>
      <c r="K29" s="19"/>
      <c r="L29" s="19"/>
      <c r="M29" s="19"/>
      <c r="N29" s="19"/>
      <c r="O29" s="19"/>
    </row>
    <row r="30" spans="1:15" ht="14.4">
      <c r="A30" s="19"/>
      <c r="B30" s="164" t="s">
        <v>88</v>
      </c>
      <c r="C30" s="164"/>
      <c r="D30" s="164"/>
      <c r="E30" s="164"/>
      <c r="F30" s="164"/>
      <c r="G30" s="164"/>
      <c r="H30" s="164"/>
      <c r="I30" s="164"/>
      <c r="J30" s="164"/>
      <c r="K30" s="19"/>
      <c r="L30" s="19"/>
      <c r="M30" s="19"/>
      <c r="N30" s="19"/>
      <c r="O30" s="19"/>
    </row>
    <row r="31" spans="1:15" ht="13.8">
      <c r="A31" s="19" t="s">
        <v>32</v>
      </c>
      <c r="B31" s="103">
        <v>35.040999999999997</v>
      </c>
      <c r="C31" s="105">
        <v>481.34800000000001</v>
      </c>
      <c r="D31" s="103">
        <v>0.26666000000000001</v>
      </c>
      <c r="E31" s="115">
        <f>B31+C31+D31</f>
        <v>516.65566000000001</v>
      </c>
      <c r="F31" s="19"/>
      <c r="G31" s="109">
        <f>I31-H31</f>
        <v>388.20178644136797</v>
      </c>
      <c r="H31" s="105">
        <v>83.915873558632001</v>
      </c>
      <c r="I31" s="109">
        <f>E31-J31</f>
        <v>472.11766</v>
      </c>
      <c r="J31" s="109">
        <v>44.537999999999997</v>
      </c>
      <c r="K31" s="19"/>
      <c r="L31" s="19"/>
      <c r="M31" s="19"/>
      <c r="N31" s="19"/>
      <c r="O31" s="19"/>
    </row>
    <row r="32" spans="1:15" ht="16.2">
      <c r="A32" s="23" t="s">
        <v>33</v>
      </c>
      <c r="B32" s="107">
        <f>J31</f>
        <v>44.537999999999997</v>
      </c>
      <c r="C32" s="109">
        <v>399.91800000000001</v>
      </c>
      <c r="D32" s="107">
        <v>21.365218272682</v>
      </c>
      <c r="E32" s="115">
        <f>B32+C32+D32</f>
        <v>465.82121827268202</v>
      </c>
      <c r="F32" s="108"/>
      <c r="G32" s="109">
        <f>I32-H32</f>
        <v>355.51274692573605</v>
      </c>
      <c r="H32" s="109">
        <v>62.100471346945994</v>
      </c>
      <c r="I32" s="109">
        <f>E32-J32</f>
        <v>417.61321827268205</v>
      </c>
      <c r="J32" s="109">
        <v>48.207999999999998</v>
      </c>
      <c r="K32" s="19"/>
      <c r="L32" s="19"/>
      <c r="M32" s="19"/>
      <c r="N32" s="19"/>
      <c r="O32" s="19"/>
    </row>
    <row r="33" spans="1:15" ht="16.2">
      <c r="A33" s="17" t="s">
        <v>34</v>
      </c>
      <c r="B33" s="111">
        <f>J32</f>
        <v>48.207999999999998</v>
      </c>
      <c r="C33" s="113">
        <v>400</v>
      </c>
      <c r="D33" s="111">
        <v>5</v>
      </c>
      <c r="E33" s="116">
        <f>B33+C33+D33</f>
        <v>453.20799999999997</v>
      </c>
      <c r="F33" s="112"/>
      <c r="G33" s="113">
        <f>I33-H33</f>
        <v>342.20799999999997</v>
      </c>
      <c r="H33" s="113">
        <v>66</v>
      </c>
      <c r="I33" s="113">
        <f>E33-J33</f>
        <v>408.20799999999997</v>
      </c>
      <c r="J33" s="113">
        <v>45</v>
      </c>
      <c r="K33" s="19"/>
      <c r="L33" s="19"/>
      <c r="M33" s="19"/>
      <c r="N33" s="19"/>
      <c r="O33" s="19"/>
    </row>
    <row r="34" spans="1:15" ht="16.2">
      <c r="A34" s="58" t="s">
        <v>82</v>
      </c>
      <c r="B34" s="19"/>
      <c r="C34" s="104"/>
      <c r="D34" s="104"/>
      <c r="E34" s="104"/>
      <c r="F34" s="104"/>
      <c r="G34" s="104"/>
      <c r="H34" s="104"/>
      <c r="I34" s="19"/>
      <c r="J34" s="19"/>
      <c r="K34" s="19"/>
      <c r="L34" s="19"/>
      <c r="M34" s="19"/>
      <c r="N34" s="19"/>
      <c r="O34" s="19"/>
    </row>
    <row r="35" spans="1:15" ht="14.4">
      <c r="A35" s="19" t="s">
        <v>87</v>
      </c>
      <c r="B35" s="38"/>
      <c r="C35" s="44"/>
      <c r="D35" s="38"/>
      <c r="E35" s="38"/>
      <c r="F35" s="38"/>
      <c r="G35" s="38"/>
      <c r="H35" s="38"/>
      <c r="I35" s="19"/>
      <c r="J35" s="19"/>
      <c r="K35" s="19"/>
      <c r="L35" s="19"/>
      <c r="M35" s="19"/>
      <c r="N35" s="19"/>
      <c r="O35" s="19"/>
    </row>
    <row r="36" spans="1:15" ht="13.8">
      <c r="A36" s="23"/>
      <c r="B36" s="23"/>
      <c r="C36" s="23"/>
      <c r="D36" s="23"/>
      <c r="E36" s="23"/>
      <c r="F36" s="23"/>
      <c r="G36" s="23"/>
      <c r="H36" s="23"/>
      <c r="I36" s="19"/>
      <c r="J36" s="19"/>
      <c r="K36" s="19"/>
      <c r="L36" s="19"/>
      <c r="M36" s="19"/>
      <c r="N36" s="19"/>
      <c r="O36" s="19"/>
    </row>
    <row r="37" spans="1:15" ht="13.8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3.8">
      <c r="A38" s="17" t="s">
        <v>7</v>
      </c>
      <c r="B38" s="17"/>
      <c r="C38" s="17"/>
      <c r="D38" s="17"/>
      <c r="E38" s="17"/>
      <c r="F38" s="17"/>
      <c r="G38" s="17"/>
      <c r="H38" s="17"/>
      <c r="I38" s="17"/>
      <c r="J38" s="19"/>
      <c r="K38" s="19"/>
      <c r="L38" s="19"/>
      <c r="M38" s="19"/>
      <c r="N38" s="19"/>
      <c r="O38" s="19"/>
    </row>
    <row r="39" spans="1:15" ht="13.8">
      <c r="A39" s="19"/>
      <c r="B39" s="159" t="s">
        <v>12</v>
      </c>
      <c r="C39" s="159"/>
      <c r="D39" s="21" t="s">
        <v>13</v>
      </c>
      <c r="E39" s="159" t="s">
        <v>14</v>
      </c>
      <c r="F39" s="159"/>
      <c r="G39" s="159"/>
      <c r="H39" s="159"/>
      <c r="I39" s="19"/>
      <c r="J39" s="159" t="s">
        <v>58</v>
      </c>
      <c r="K39" s="159"/>
      <c r="L39" s="159"/>
      <c r="M39" s="159"/>
      <c r="N39" s="159"/>
      <c r="O39" s="100"/>
    </row>
    <row r="40" spans="1:15" ht="13.8">
      <c r="A40" s="19" t="s">
        <v>16</v>
      </c>
      <c r="B40" s="21" t="s">
        <v>17</v>
      </c>
      <c r="C40" s="21" t="s">
        <v>18</v>
      </c>
      <c r="D40" s="19"/>
      <c r="E40" s="21" t="s">
        <v>68</v>
      </c>
      <c r="F40" s="21"/>
      <c r="G40" s="21"/>
      <c r="H40" s="21"/>
      <c r="I40" s="19"/>
      <c r="J40" s="117" t="s">
        <v>85</v>
      </c>
      <c r="K40" s="21"/>
      <c r="L40" s="21" t="s">
        <v>21</v>
      </c>
      <c r="M40" s="21"/>
      <c r="N40" s="21"/>
      <c r="O40" s="21" t="s">
        <v>59</v>
      </c>
    </row>
    <row r="41" spans="1:15" ht="13.8">
      <c r="A41" s="26" t="s">
        <v>75</v>
      </c>
      <c r="B41" s="27"/>
      <c r="C41" s="27"/>
      <c r="D41" s="27"/>
      <c r="E41" s="28" t="s">
        <v>61</v>
      </c>
      <c r="F41" s="28" t="s">
        <v>25</v>
      </c>
      <c r="G41" s="28" t="s">
        <v>69</v>
      </c>
      <c r="H41" s="28" t="s">
        <v>80</v>
      </c>
      <c r="I41" s="28"/>
      <c r="J41" s="28" t="s">
        <v>89</v>
      </c>
      <c r="K41" s="28" t="s">
        <v>78</v>
      </c>
      <c r="L41" s="28" t="s">
        <v>90</v>
      </c>
      <c r="M41" s="30" t="s">
        <v>28</v>
      </c>
      <c r="N41" s="28" t="s">
        <v>62</v>
      </c>
      <c r="O41" s="28" t="s">
        <v>65</v>
      </c>
    </row>
    <row r="42" spans="1:15" ht="14.4">
      <c r="A42" s="19"/>
      <c r="B42" s="162" t="s">
        <v>91</v>
      </c>
      <c r="C42" s="163"/>
      <c r="D42" s="118" t="s">
        <v>92</v>
      </c>
      <c r="E42" s="165" t="s">
        <v>93</v>
      </c>
      <c r="F42" s="164"/>
      <c r="G42" s="164"/>
      <c r="H42" s="164"/>
      <c r="I42" s="164"/>
      <c r="J42" s="164"/>
      <c r="K42" s="164"/>
      <c r="L42" s="164"/>
      <c r="M42" s="164"/>
      <c r="N42" s="164"/>
      <c r="O42" s="163"/>
    </row>
    <row r="43" spans="1:15" ht="13.8">
      <c r="A43" s="19"/>
      <c r="B43" s="21"/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3.8">
      <c r="A44" s="19" t="s">
        <v>32</v>
      </c>
      <c r="B44" s="102">
        <v>1432.7</v>
      </c>
      <c r="C44" s="102">
        <v>1389.7</v>
      </c>
      <c r="D44" s="106">
        <f>F44*1000/C44</f>
        <v>3933.5734331150607</v>
      </c>
      <c r="E44" s="102">
        <v>2421.09</v>
      </c>
      <c r="F44" s="102">
        <v>5466.4870000000001</v>
      </c>
      <c r="G44" s="109">
        <v>113.82652333129602</v>
      </c>
      <c r="H44" s="106">
        <f>SUM(E44:G44)</f>
        <v>8001.4035233312961</v>
      </c>
      <c r="I44" s="102"/>
      <c r="J44" s="102">
        <v>3221.4</v>
      </c>
      <c r="K44" s="102">
        <v>774.15131240000005</v>
      </c>
      <c r="L44" s="109">
        <f>N44-J44-K44-M44</f>
        <v>277.31027254689639</v>
      </c>
      <c r="M44" s="105">
        <v>1610.288415053104</v>
      </c>
      <c r="N44" s="102">
        <v>5883.1500000000005</v>
      </c>
      <c r="O44" s="102">
        <v>2118.1880000000001</v>
      </c>
    </row>
    <row r="45" spans="1:15" ht="16.2">
      <c r="A45" s="23" t="s">
        <v>33</v>
      </c>
      <c r="B45" s="106">
        <v>1662.5</v>
      </c>
      <c r="C45" s="106">
        <v>1615.2</v>
      </c>
      <c r="D45" s="106">
        <f>F45*1000/C45</f>
        <v>3812.7476473501733</v>
      </c>
      <c r="E45" s="106">
        <f>O44</f>
        <v>2118.1880000000001</v>
      </c>
      <c r="F45" s="106">
        <v>6158.35</v>
      </c>
      <c r="G45" s="109">
        <v>121.04780464882167</v>
      </c>
      <c r="H45" s="106">
        <f>SUM(E45:G45)</f>
        <v>8397.5858046488229</v>
      </c>
      <c r="I45" s="106"/>
      <c r="J45" s="106">
        <v>3357.2</v>
      </c>
      <c r="K45" s="106">
        <v>872.91017669999985</v>
      </c>
      <c r="L45" s="109">
        <f>N45-J45-K45-M45</f>
        <v>782.56198954251931</v>
      </c>
      <c r="M45" s="109">
        <v>1416.7516384063038</v>
      </c>
      <c r="N45" s="106">
        <f>H45-O45</f>
        <v>6429.4238046488226</v>
      </c>
      <c r="O45" s="106">
        <v>1968.162</v>
      </c>
    </row>
    <row r="46" spans="1:15" ht="16.2">
      <c r="A46" s="17" t="s">
        <v>34</v>
      </c>
      <c r="B46" s="110">
        <v>1585.2</v>
      </c>
      <c r="C46" s="110">
        <v>1545</v>
      </c>
      <c r="D46" s="110">
        <f>F46*1000/C46</f>
        <v>4135.46925566343</v>
      </c>
      <c r="E46" s="110">
        <f>O45</f>
        <v>1968.162</v>
      </c>
      <c r="F46" s="110">
        <v>6389.3</v>
      </c>
      <c r="G46" s="113">
        <v>115</v>
      </c>
      <c r="H46" s="110">
        <f>SUM(E46:G46)</f>
        <v>8472.4619999999995</v>
      </c>
      <c r="I46" s="110"/>
      <c r="J46" s="110">
        <v>3390.7563826135997</v>
      </c>
      <c r="K46" s="110">
        <v>875</v>
      </c>
      <c r="L46" s="113">
        <f>N46-J46-K46-M46</f>
        <v>657.67999999999984</v>
      </c>
      <c r="M46" s="113">
        <v>1300</v>
      </c>
      <c r="N46" s="110">
        <f>H46-O46</f>
        <v>6223.4363826135996</v>
      </c>
      <c r="O46" s="110">
        <v>2249.0256173864</v>
      </c>
    </row>
    <row r="47" spans="1:15" ht="16.2">
      <c r="A47" s="58" t="s">
        <v>82</v>
      </c>
      <c r="B47" s="19"/>
      <c r="C47" s="104"/>
      <c r="D47" s="104"/>
      <c r="E47" s="104"/>
      <c r="F47" s="104"/>
      <c r="G47" s="104"/>
      <c r="H47" s="104"/>
      <c r="I47" s="19"/>
      <c r="J47" s="19"/>
      <c r="K47" s="19"/>
      <c r="L47" s="19"/>
      <c r="M47" s="19"/>
      <c r="N47" s="19"/>
      <c r="O47" s="19"/>
    </row>
    <row r="48" spans="1:15" ht="14.4">
      <c r="A48" s="19" t="s">
        <v>94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4.4">
      <c r="A49" s="19" t="s">
        <v>84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ht="13.8">
      <c r="A50" s="25" t="s">
        <v>56</v>
      </c>
      <c r="B50" s="119">
        <f ca="1">NOW()</f>
        <v>44574.626822685183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44.4" customHeigh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</row>
    <row r="52" spans="1:15" ht="15.6">
      <c r="G52" s="84"/>
      <c r="H52" s="84"/>
    </row>
    <row r="53" spans="1:15" ht="15.6">
      <c r="G53" s="84"/>
      <c r="H53" s="84"/>
    </row>
    <row r="54" spans="1:15" ht="15.6">
      <c r="G54" s="84"/>
      <c r="H54" s="84"/>
    </row>
  </sheetData>
  <mergeCells count="14">
    <mergeCell ref="G2:J2"/>
    <mergeCell ref="G15:I15"/>
    <mergeCell ref="B15:E15"/>
    <mergeCell ref="B2:E2"/>
    <mergeCell ref="B27:E27"/>
    <mergeCell ref="G27:I27"/>
    <mergeCell ref="B5:K5"/>
    <mergeCell ref="B39:C39"/>
    <mergeCell ref="B42:C42"/>
    <mergeCell ref="B18:J18"/>
    <mergeCell ref="E39:H39"/>
    <mergeCell ref="B30:J30"/>
    <mergeCell ref="E42:O42"/>
    <mergeCell ref="J39:N39"/>
  </mergeCells>
  <phoneticPr fontId="11" type="noConversion"/>
  <pageMargins left="0.75" right="0.75" top="1" bottom="1" header="0.5" footer="0.5"/>
  <pageSetup scale="6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H39"/>
  <sheetViews>
    <sheetView showGridLines="0" zoomScale="70" zoomScaleNormal="70" workbookViewId="0"/>
  </sheetViews>
  <sheetFormatPr defaultColWidth="9.109375" defaultRowHeight="13.2"/>
  <cols>
    <col min="1" max="1" width="11.6640625" style="18" customWidth="1"/>
    <col min="2" max="2" width="18.88671875" style="18" bestFit="1" customWidth="1"/>
    <col min="3" max="3" width="22.109375" style="18" bestFit="1" customWidth="1"/>
    <col min="4" max="5" width="25.6640625" style="18" bestFit="1" customWidth="1"/>
    <col min="6" max="6" width="16.6640625" style="18" bestFit="1" customWidth="1"/>
    <col min="7" max="7" width="18.88671875" style="18" bestFit="1" customWidth="1"/>
    <col min="8" max="16384" width="9.109375" style="18"/>
  </cols>
  <sheetData>
    <row r="1" spans="1:8" ht="15.6" customHeight="1">
      <c r="A1" s="17" t="s">
        <v>8</v>
      </c>
      <c r="B1" s="17"/>
      <c r="C1" s="17"/>
      <c r="D1" s="17"/>
      <c r="E1" s="17"/>
      <c r="F1" s="17"/>
      <c r="G1" s="17"/>
      <c r="H1" s="59"/>
    </row>
    <row r="2" spans="1:8" ht="15.6" customHeight="1">
      <c r="A2" s="23" t="s">
        <v>95</v>
      </c>
      <c r="B2" s="40" t="s">
        <v>96</v>
      </c>
      <c r="C2" s="40" t="s">
        <v>97</v>
      </c>
      <c r="D2" s="40" t="s">
        <v>98</v>
      </c>
      <c r="E2" s="40" t="s">
        <v>99</v>
      </c>
      <c r="F2" s="40" t="s">
        <v>100</v>
      </c>
      <c r="G2" s="40" t="s">
        <v>101</v>
      </c>
      <c r="H2" s="59"/>
    </row>
    <row r="3" spans="1:8" ht="15.6" customHeight="1">
      <c r="A3" s="17" t="s">
        <v>102</v>
      </c>
      <c r="B3" s="29"/>
      <c r="C3" s="65"/>
      <c r="D3" s="65"/>
      <c r="E3" s="65"/>
      <c r="F3" s="65"/>
      <c r="G3" s="65"/>
      <c r="H3" s="59"/>
    </row>
    <row r="4" spans="1:8" ht="14.4">
      <c r="A4" s="66"/>
      <c r="B4" s="67" t="s">
        <v>103</v>
      </c>
      <c r="C4" s="67" t="s">
        <v>104</v>
      </c>
      <c r="D4" s="67" t="s">
        <v>105</v>
      </c>
      <c r="E4" s="67" t="s">
        <v>105</v>
      </c>
      <c r="F4" s="67" t="s">
        <v>106</v>
      </c>
      <c r="G4" s="67" t="s">
        <v>103</v>
      </c>
      <c r="H4" s="59"/>
    </row>
    <row r="5" spans="1:8" ht="13.8">
      <c r="A5" s="19"/>
      <c r="B5" s="19"/>
      <c r="C5" s="19"/>
      <c r="D5" s="21"/>
      <c r="E5" s="19"/>
      <c r="F5" s="19"/>
      <c r="G5" s="19"/>
      <c r="H5" s="59"/>
    </row>
    <row r="6" spans="1:8" ht="13.8">
      <c r="A6" s="19" t="s">
        <v>107</v>
      </c>
      <c r="B6" s="68">
        <v>11.3</v>
      </c>
      <c r="C6" s="68">
        <v>161</v>
      </c>
      <c r="D6" s="68">
        <v>23.3</v>
      </c>
      <c r="E6" s="68">
        <v>19.3</v>
      </c>
      <c r="F6" s="68">
        <v>22.5</v>
      </c>
      <c r="G6" s="68">
        <v>12.2</v>
      </c>
      <c r="H6" s="59"/>
    </row>
    <row r="7" spans="1:8" ht="13.8">
      <c r="A7" s="19" t="s">
        <v>108</v>
      </c>
      <c r="B7" s="68">
        <v>12.5</v>
      </c>
      <c r="C7" s="68">
        <v>260</v>
      </c>
      <c r="D7" s="68">
        <v>29.1</v>
      </c>
      <c r="E7" s="68">
        <v>24</v>
      </c>
      <c r="F7" s="68">
        <v>31.8</v>
      </c>
      <c r="G7" s="68">
        <v>13.9</v>
      </c>
      <c r="H7" s="59"/>
    </row>
    <row r="8" spans="1:8" ht="13.8">
      <c r="A8" s="19" t="s">
        <v>109</v>
      </c>
      <c r="B8" s="68">
        <v>14.4</v>
      </c>
      <c r="C8" s="68">
        <v>252</v>
      </c>
      <c r="D8" s="68">
        <v>25.4</v>
      </c>
      <c r="E8" s="68">
        <v>26.5</v>
      </c>
      <c r="F8" s="68">
        <v>30.1</v>
      </c>
      <c r="G8" s="68">
        <v>13.8</v>
      </c>
      <c r="H8" s="59"/>
    </row>
    <row r="9" spans="1:8" ht="13.8">
      <c r="A9" s="19" t="s">
        <v>110</v>
      </c>
      <c r="B9" s="68">
        <v>13</v>
      </c>
      <c r="C9" s="68">
        <v>246</v>
      </c>
      <c r="D9" s="68">
        <v>21.4</v>
      </c>
      <c r="E9" s="68">
        <v>20.6</v>
      </c>
      <c r="F9" s="68">
        <v>24.9</v>
      </c>
      <c r="G9" s="68">
        <v>13.8</v>
      </c>
      <c r="H9" s="59"/>
    </row>
    <row r="10" spans="1:8" ht="13.8">
      <c r="A10" s="19" t="s">
        <v>111</v>
      </c>
      <c r="B10" s="68">
        <v>10.1</v>
      </c>
      <c r="C10" s="68">
        <v>194</v>
      </c>
      <c r="D10" s="68">
        <v>21.7</v>
      </c>
      <c r="E10" s="68">
        <v>16.899999999999999</v>
      </c>
      <c r="F10" s="68">
        <v>22</v>
      </c>
      <c r="G10" s="68">
        <v>11.8</v>
      </c>
      <c r="H10" s="59"/>
    </row>
    <row r="11" spans="1:8" ht="13.8">
      <c r="A11" s="19" t="s">
        <v>112</v>
      </c>
      <c r="B11" s="68">
        <v>8.9499999999999993</v>
      </c>
      <c r="C11" s="68">
        <v>227</v>
      </c>
      <c r="D11" s="68">
        <v>19.600000000000001</v>
      </c>
      <c r="E11" s="68">
        <v>15.6</v>
      </c>
      <c r="F11" s="68">
        <v>19.3</v>
      </c>
      <c r="G11" s="68">
        <v>8.9499999999999993</v>
      </c>
      <c r="H11" s="59"/>
    </row>
    <row r="12" spans="1:8" ht="13.8">
      <c r="A12" s="19" t="s">
        <v>113</v>
      </c>
      <c r="B12" s="68">
        <v>9.4700000000000006</v>
      </c>
      <c r="C12" s="68">
        <v>195</v>
      </c>
      <c r="D12" s="68">
        <v>17.399999999999999</v>
      </c>
      <c r="E12" s="68">
        <v>16.600000000000001</v>
      </c>
      <c r="F12" s="68">
        <v>19.7</v>
      </c>
      <c r="G12" s="68">
        <v>8</v>
      </c>
      <c r="H12" s="59"/>
    </row>
    <row r="13" spans="1:8" ht="13.8">
      <c r="A13" s="19" t="s">
        <v>114</v>
      </c>
      <c r="B13" s="68">
        <v>9.33</v>
      </c>
      <c r="C13" s="68">
        <v>142</v>
      </c>
      <c r="D13" s="68">
        <v>17.2</v>
      </c>
      <c r="E13" s="68">
        <v>17.5</v>
      </c>
      <c r="F13" s="68">
        <v>22.9</v>
      </c>
      <c r="G13" s="68">
        <v>9.5299999999999994</v>
      </c>
      <c r="H13" s="59"/>
    </row>
    <row r="14" spans="1:8" ht="13.8">
      <c r="A14" s="19" t="s">
        <v>115</v>
      </c>
      <c r="B14" s="68">
        <v>8.48</v>
      </c>
      <c r="C14" s="68">
        <v>155</v>
      </c>
      <c r="D14" s="68">
        <v>17.399999999999999</v>
      </c>
      <c r="E14" s="68">
        <v>15.8</v>
      </c>
      <c r="F14" s="68">
        <v>21.5</v>
      </c>
      <c r="G14" s="68">
        <v>9.89</v>
      </c>
      <c r="H14" s="59"/>
    </row>
    <row r="15" spans="1:8" ht="13.8">
      <c r="A15" s="19" t="s">
        <v>32</v>
      </c>
      <c r="B15" s="68">
        <v>8.57</v>
      </c>
      <c r="C15" s="68">
        <v>161</v>
      </c>
      <c r="D15" s="68">
        <v>19.5</v>
      </c>
      <c r="E15" s="68">
        <v>14.8</v>
      </c>
      <c r="F15" s="68">
        <v>20.5</v>
      </c>
      <c r="G15" s="68">
        <v>9.15</v>
      </c>
      <c r="H15" s="59"/>
    </row>
    <row r="16" spans="1:8" ht="16.2">
      <c r="A16" s="19" t="s">
        <v>116</v>
      </c>
      <c r="B16" s="68">
        <v>10.8</v>
      </c>
      <c r="C16" s="68">
        <v>194</v>
      </c>
      <c r="D16" s="68">
        <v>21.3</v>
      </c>
      <c r="E16" s="68">
        <v>18.400000000000002</v>
      </c>
      <c r="F16" s="152">
        <v>21</v>
      </c>
      <c r="G16" s="68">
        <v>11.102000000000002</v>
      </c>
      <c r="H16" s="59"/>
    </row>
    <row r="17" spans="1:8" ht="16.2">
      <c r="A17" s="19" t="s">
        <v>117</v>
      </c>
      <c r="B17" s="68">
        <v>12.6</v>
      </c>
      <c r="C17" s="68">
        <v>245</v>
      </c>
      <c r="D17" s="68">
        <v>31.55</v>
      </c>
      <c r="E17" s="68">
        <v>32</v>
      </c>
      <c r="F17" s="152">
        <v>23</v>
      </c>
      <c r="G17" s="68">
        <v>27</v>
      </c>
      <c r="H17" s="59"/>
    </row>
    <row r="18" spans="1:8" ht="13.8">
      <c r="A18" s="23"/>
      <c r="B18" s="69"/>
      <c r="C18" s="70"/>
      <c r="D18" s="71"/>
      <c r="E18" s="71"/>
      <c r="F18" s="72"/>
      <c r="G18" s="73"/>
      <c r="H18" s="60"/>
    </row>
    <row r="19" spans="1:8" ht="13.8">
      <c r="A19" s="74" t="s">
        <v>36</v>
      </c>
      <c r="B19" s="68"/>
      <c r="C19" s="68"/>
      <c r="D19" s="68"/>
      <c r="E19" s="68"/>
      <c r="F19" s="68"/>
      <c r="G19" s="68"/>
    </row>
    <row r="20" spans="1:8" ht="13.8">
      <c r="A20" s="23" t="s">
        <v>37</v>
      </c>
      <c r="B20" s="68">
        <v>9.24</v>
      </c>
      <c r="C20" s="68">
        <v>164</v>
      </c>
      <c r="D20" s="68">
        <v>23.7</v>
      </c>
      <c r="E20" s="68">
        <v>16.399999999999999</v>
      </c>
      <c r="F20" s="68">
        <v>20.5</v>
      </c>
      <c r="G20" s="68">
        <v>9.64</v>
      </c>
    </row>
    <row r="21" spans="1:8" ht="13.8">
      <c r="A21" s="23" t="s">
        <v>38</v>
      </c>
      <c r="B21" s="68">
        <v>9.6300000000000008</v>
      </c>
      <c r="C21" s="68">
        <v>189</v>
      </c>
      <c r="D21" s="68">
        <v>19.100000000000001</v>
      </c>
      <c r="E21" s="68">
        <v>16.2</v>
      </c>
      <c r="F21" s="68">
        <v>20.9</v>
      </c>
      <c r="G21" s="68">
        <v>9.76</v>
      </c>
    </row>
    <row r="22" spans="1:8" ht="13.8">
      <c r="A22" s="23" t="s">
        <v>39</v>
      </c>
      <c r="B22" s="68">
        <v>10.3</v>
      </c>
      <c r="C22" s="68">
        <v>199</v>
      </c>
      <c r="D22" s="68">
        <v>18.899999999999999</v>
      </c>
      <c r="E22" s="68">
        <v>18.100000000000001</v>
      </c>
      <c r="F22" s="68">
        <v>21.2</v>
      </c>
      <c r="G22" s="68">
        <v>10.7</v>
      </c>
    </row>
    <row r="23" spans="1:8" ht="13.8">
      <c r="A23" s="23" t="s">
        <v>41</v>
      </c>
      <c r="B23" s="68">
        <v>10.6</v>
      </c>
      <c r="C23" s="68">
        <v>195</v>
      </c>
      <c r="D23" s="68">
        <v>19.2</v>
      </c>
      <c r="E23" s="68">
        <v>17.2</v>
      </c>
      <c r="F23" s="68">
        <v>20.399999999999999</v>
      </c>
      <c r="G23" s="68">
        <v>10.9</v>
      </c>
    </row>
    <row r="24" spans="1:8" ht="13.8">
      <c r="A24" s="23" t="s">
        <v>42</v>
      </c>
      <c r="B24" s="68">
        <v>10.9</v>
      </c>
      <c r="C24" s="68">
        <v>209</v>
      </c>
      <c r="D24" s="68">
        <v>19.5</v>
      </c>
      <c r="E24" s="68">
        <v>18.8</v>
      </c>
      <c r="F24" s="68">
        <v>20.5</v>
      </c>
      <c r="G24" s="68">
        <v>12</v>
      </c>
    </row>
    <row r="25" spans="1:8" ht="13.8">
      <c r="A25" s="23" t="s">
        <v>43</v>
      </c>
      <c r="B25" s="68">
        <v>12.7</v>
      </c>
      <c r="C25" s="68">
        <v>185</v>
      </c>
      <c r="D25" s="68">
        <v>21.4</v>
      </c>
      <c r="E25" s="68">
        <v>20.399999999999999</v>
      </c>
      <c r="F25" s="68">
        <v>20.5</v>
      </c>
      <c r="G25" s="68">
        <v>13.2</v>
      </c>
    </row>
    <row r="26" spans="1:8" ht="13.8">
      <c r="A26" s="23" t="s">
        <v>45</v>
      </c>
      <c r="B26" s="68">
        <v>13.2</v>
      </c>
      <c r="C26" s="68" t="s">
        <v>74</v>
      </c>
      <c r="D26" s="68">
        <v>21.5</v>
      </c>
      <c r="E26" s="68">
        <v>22</v>
      </c>
      <c r="F26" s="68">
        <v>21.2</v>
      </c>
      <c r="G26" s="68">
        <v>15.7</v>
      </c>
    </row>
    <row r="27" spans="1:8" ht="13.8">
      <c r="A27" s="23" t="s">
        <v>46</v>
      </c>
      <c r="B27" s="68">
        <v>13.9</v>
      </c>
      <c r="C27" s="68" t="s">
        <v>74</v>
      </c>
      <c r="D27" s="68">
        <v>23.7</v>
      </c>
      <c r="E27" s="68">
        <v>23.8</v>
      </c>
      <c r="F27" s="68">
        <v>21.4</v>
      </c>
      <c r="G27" s="68">
        <v>18.100000000000001</v>
      </c>
    </row>
    <row r="28" spans="1:8" ht="13.8">
      <c r="A28" s="23" t="s">
        <v>47</v>
      </c>
      <c r="B28" s="68">
        <v>14.8</v>
      </c>
      <c r="C28" s="68" t="s">
        <v>74</v>
      </c>
      <c r="D28" s="68">
        <v>26.4</v>
      </c>
      <c r="E28" s="68">
        <v>26.1</v>
      </c>
      <c r="F28" s="68">
        <v>21.3</v>
      </c>
      <c r="G28" s="68">
        <v>18.3</v>
      </c>
    </row>
    <row r="29" spans="1:8" ht="13.8">
      <c r="A29" s="23" t="s">
        <v>49</v>
      </c>
      <c r="B29" s="68">
        <v>14.5</v>
      </c>
      <c r="C29" s="68" t="s">
        <v>74</v>
      </c>
      <c r="D29" s="68">
        <v>28.4</v>
      </c>
      <c r="E29" s="68">
        <v>26</v>
      </c>
      <c r="F29" s="68">
        <v>21.3</v>
      </c>
      <c r="G29" s="68">
        <v>19.899999999999999</v>
      </c>
    </row>
    <row r="30" spans="1:8" ht="13.8">
      <c r="A30" s="23" t="s">
        <v>50</v>
      </c>
      <c r="B30" s="68">
        <v>14.1</v>
      </c>
      <c r="C30" s="68" t="s">
        <v>74</v>
      </c>
      <c r="D30" s="68">
        <v>28</v>
      </c>
      <c r="E30" s="68">
        <v>27.7</v>
      </c>
      <c r="F30" s="68">
        <v>21.6</v>
      </c>
      <c r="G30" s="68">
        <v>20.100000000000001</v>
      </c>
    </row>
    <row r="31" spans="1:8" ht="13.8">
      <c r="A31" s="23" t="s">
        <v>51</v>
      </c>
      <c r="B31" s="68">
        <v>13.7</v>
      </c>
      <c r="C31" s="68">
        <v>255</v>
      </c>
      <c r="D31" s="68">
        <v>29.4</v>
      </c>
      <c r="E31" s="68">
        <v>30.9</v>
      </c>
      <c r="F31" s="68">
        <v>21.3</v>
      </c>
      <c r="G31" s="68">
        <v>20.2</v>
      </c>
    </row>
    <row r="32" spans="1:8" ht="13.8">
      <c r="A32" s="23"/>
      <c r="B32" s="68"/>
      <c r="C32" s="68"/>
      <c r="D32" s="68"/>
      <c r="E32" s="68"/>
      <c r="F32" s="68"/>
      <c r="G32" s="68"/>
    </row>
    <row r="33" spans="1:7" ht="13.8">
      <c r="A33" s="74" t="s">
        <v>53</v>
      </c>
      <c r="B33" s="68"/>
      <c r="C33" s="68"/>
      <c r="D33" s="68"/>
      <c r="E33" s="68"/>
      <c r="F33" s="68"/>
      <c r="G33" s="68"/>
    </row>
    <row r="34" spans="1:7" ht="13.8">
      <c r="A34" s="23" t="s">
        <v>37</v>
      </c>
      <c r="B34" s="68">
        <v>12.2</v>
      </c>
      <c r="C34" s="68">
        <v>235</v>
      </c>
      <c r="D34" s="68">
        <v>30.7</v>
      </c>
      <c r="E34" s="68">
        <v>28.7</v>
      </c>
      <c r="F34" s="68">
        <v>22.3</v>
      </c>
      <c r="G34" s="68">
        <v>19.8</v>
      </c>
    </row>
    <row r="35" spans="1:7" ht="13.8">
      <c r="A35" s="23" t="s">
        <v>38</v>
      </c>
      <c r="B35" s="68">
        <v>11.9</v>
      </c>
      <c r="C35" s="68">
        <v>244</v>
      </c>
      <c r="D35" s="68">
        <v>30.5</v>
      </c>
      <c r="E35" s="68">
        <v>29.5</v>
      </c>
      <c r="F35" s="68">
        <v>24</v>
      </c>
      <c r="G35" s="68">
        <v>25.1</v>
      </c>
    </row>
    <row r="36" spans="1:7" ht="13.8">
      <c r="A36" s="17" t="s">
        <v>39</v>
      </c>
      <c r="B36" s="16">
        <v>12.2</v>
      </c>
      <c r="C36" s="16">
        <v>244</v>
      </c>
      <c r="D36" s="16">
        <v>30.2</v>
      </c>
      <c r="E36" s="16">
        <v>31.7</v>
      </c>
      <c r="F36" s="16">
        <v>25.4</v>
      </c>
      <c r="G36" s="16">
        <v>26.1</v>
      </c>
    </row>
    <row r="37" spans="1:7" ht="16.2">
      <c r="A37" s="19" t="s">
        <v>171</v>
      </c>
      <c r="B37" s="19"/>
      <c r="C37" s="19"/>
      <c r="D37" s="19"/>
      <c r="E37" s="19"/>
      <c r="F37" s="19"/>
      <c r="G37" s="19"/>
    </row>
    <row r="38" spans="1:7" ht="14.4">
      <c r="A38" s="19" t="s">
        <v>118</v>
      </c>
      <c r="B38" s="19"/>
      <c r="C38" s="19"/>
      <c r="D38" s="19"/>
      <c r="E38" s="19"/>
      <c r="F38" s="19"/>
      <c r="G38" s="19"/>
    </row>
    <row r="39" spans="1:7" ht="13.8">
      <c r="A39" s="25" t="s">
        <v>56</v>
      </c>
      <c r="B39" s="50">
        <f ca="1">NOW()</f>
        <v>44574.626822685183</v>
      </c>
      <c r="C39" s="19"/>
      <c r="D39" s="19"/>
      <c r="E39" s="19"/>
      <c r="F39" s="19"/>
      <c r="G39" s="19"/>
    </row>
  </sheetData>
  <phoneticPr fontId="11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J60"/>
  <sheetViews>
    <sheetView showGridLines="0" zoomScale="70" zoomScaleNormal="70" workbookViewId="0"/>
  </sheetViews>
  <sheetFormatPr defaultColWidth="9.109375" defaultRowHeight="13.2"/>
  <cols>
    <col min="1" max="2" width="11.6640625" style="18" customWidth="1"/>
    <col min="3" max="3" width="11.5546875" style="18" customWidth="1"/>
    <col min="4" max="4" width="13.6640625" style="18" customWidth="1"/>
    <col min="5" max="5" width="10.5546875" style="18" customWidth="1"/>
    <col min="6" max="6" width="11.5546875" style="18" bestFit="1" customWidth="1"/>
    <col min="7" max="7" width="10.6640625" style="18" customWidth="1"/>
    <col min="8" max="9" width="10.5546875" style="18" customWidth="1"/>
    <col min="10" max="11" width="9.109375" style="18"/>
    <col min="12" max="12" width="22.33203125" style="18" bestFit="1" customWidth="1"/>
    <col min="13" max="13" width="20.33203125" style="18" bestFit="1" customWidth="1"/>
    <col min="14" max="16384" width="9.109375" style="18"/>
  </cols>
  <sheetData>
    <row r="1" spans="1:9" ht="13.8">
      <c r="A1" s="17" t="s">
        <v>9</v>
      </c>
      <c r="B1" s="17"/>
      <c r="C1" s="17"/>
      <c r="D1" s="17"/>
      <c r="E1" s="17"/>
      <c r="F1" s="17"/>
      <c r="G1" s="17"/>
      <c r="H1" s="17"/>
      <c r="I1" s="19"/>
    </row>
    <row r="2" spans="1:9" ht="15.6" customHeight="1">
      <c r="A2" s="75" t="s">
        <v>95</v>
      </c>
      <c r="B2" s="40" t="s">
        <v>119</v>
      </c>
      <c r="C2" s="40" t="s">
        <v>120</v>
      </c>
      <c r="D2" s="40" t="s">
        <v>121</v>
      </c>
      <c r="E2" s="76" t="s">
        <v>122</v>
      </c>
      <c r="F2" s="76" t="s">
        <v>123</v>
      </c>
      <c r="G2" s="40" t="s">
        <v>124</v>
      </c>
      <c r="H2" s="40" t="s">
        <v>125</v>
      </c>
      <c r="I2" s="77" t="s">
        <v>126</v>
      </c>
    </row>
    <row r="3" spans="1:9" ht="15.6" customHeight="1">
      <c r="A3" s="78" t="s">
        <v>102</v>
      </c>
      <c r="B3" s="28" t="s">
        <v>127</v>
      </c>
      <c r="C3" s="28" t="s">
        <v>128</v>
      </c>
      <c r="D3" s="28" t="s">
        <v>129</v>
      </c>
      <c r="E3" s="28" t="s">
        <v>129</v>
      </c>
      <c r="F3" s="28" t="s">
        <v>130</v>
      </c>
      <c r="G3" s="28" t="s">
        <v>130</v>
      </c>
      <c r="H3" s="28"/>
      <c r="I3" s="28" t="s">
        <v>131</v>
      </c>
    </row>
    <row r="4" spans="1:9" ht="14.4">
      <c r="A4" s="19"/>
      <c r="B4" s="79" t="s">
        <v>132</v>
      </c>
      <c r="C4" s="80"/>
      <c r="D4" s="80"/>
      <c r="E4" s="80"/>
      <c r="F4" s="80"/>
      <c r="G4" s="80"/>
      <c r="H4" s="80"/>
      <c r="I4" s="80"/>
    </row>
    <row r="5" spans="1:9" ht="13.8">
      <c r="A5" s="19"/>
      <c r="B5" s="19"/>
      <c r="C5" s="19"/>
      <c r="D5" s="19"/>
      <c r="E5" s="19"/>
      <c r="F5" s="19"/>
      <c r="G5" s="19"/>
      <c r="H5" s="19"/>
      <c r="I5" s="19"/>
    </row>
    <row r="6" spans="1:9" ht="13.8">
      <c r="A6" s="19" t="s">
        <v>107</v>
      </c>
      <c r="B6" s="68">
        <v>53.2</v>
      </c>
      <c r="C6" s="68">
        <v>54.5</v>
      </c>
      <c r="D6" s="68">
        <v>86.12</v>
      </c>
      <c r="E6" s="68">
        <v>58.68</v>
      </c>
      <c r="F6" s="68">
        <v>77.239999999999995</v>
      </c>
      <c r="G6" s="68">
        <v>60.76</v>
      </c>
      <c r="H6" s="68">
        <v>51.52</v>
      </c>
      <c r="I6" s="68">
        <v>51.34</v>
      </c>
    </row>
    <row r="7" spans="1:9" ht="13.8">
      <c r="A7" s="19" t="s">
        <v>108</v>
      </c>
      <c r="B7" s="68">
        <v>51.9</v>
      </c>
      <c r="C7" s="68">
        <v>53.22</v>
      </c>
      <c r="D7" s="68">
        <v>83.2</v>
      </c>
      <c r="E7" s="68">
        <v>57.19</v>
      </c>
      <c r="F7" s="68">
        <v>100.15</v>
      </c>
      <c r="G7" s="68">
        <v>56.09</v>
      </c>
      <c r="H7" s="68">
        <v>48.11</v>
      </c>
      <c r="I7" s="68">
        <v>50.33</v>
      </c>
    </row>
    <row r="8" spans="1:9" ht="13.8">
      <c r="A8" s="19" t="s">
        <v>109</v>
      </c>
      <c r="B8" s="68">
        <v>47.13</v>
      </c>
      <c r="C8" s="68">
        <v>48.6</v>
      </c>
      <c r="D8" s="68">
        <v>65.87</v>
      </c>
      <c r="E8" s="68">
        <v>56.17</v>
      </c>
      <c r="F8" s="68">
        <v>91.83</v>
      </c>
      <c r="G8" s="68">
        <v>46.66</v>
      </c>
      <c r="H8" s="68">
        <v>51.8</v>
      </c>
      <c r="I8" s="68">
        <v>43.24</v>
      </c>
    </row>
    <row r="9" spans="1:9" ht="13.8">
      <c r="A9" s="19" t="s">
        <v>110</v>
      </c>
      <c r="B9" s="68">
        <v>38.229999999999997</v>
      </c>
      <c r="C9" s="68">
        <v>60.66</v>
      </c>
      <c r="D9" s="68">
        <v>59.12</v>
      </c>
      <c r="E9" s="68">
        <v>43.7</v>
      </c>
      <c r="F9" s="68">
        <v>68.23</v>
      </c>
      <c r="G9" s="68">
        <v>39.43</v>
      </c>
      <c r="H9" s="68">
        <v>43.93</v>
      </c>
      <c r="I9" s="68">
        <v>39.76</v>
      </c>
    </row>
    <row r="10" spans="1:9" ht="13.8">
      <c r="A10" s="19" t="s">
        <v>111</v>
      </c>
      <c r="B10" s="68">
        <v>31.6</v>
      </c>
      <c r="C10" s="68">
        <v>45.74</v>
      </c>
      <c r="D10" s="68">
        <v>66.72</v>
      </c>
      <c r="E10" s="68">
        <v>37.81</v>
      </c>
      <c r="F10" s="68">
        <v>57.96</v>
      </c>
      <c r="G10" s="68">
        <v>37.479999999999997</v>
      </c>
      <c r="H10" s="68">
        <v>33.43</v>
      </c>
      <c r="I10" s="68">
        <v>31.36</v>
      </c>
    </row>
    <row r="11" spans="1:9" ht="13.8">
      <c r="A11" s="19" t="s">
        <v>112</v>
      </c>
      <c r="B11" s="68">
        <v>29.86</v>
      </c>
      <c r="C11" s="68">
        <v>45.87</v>
      </c>
      <c r="D11" s="68">
        <v>57.81</v>
      </c>
      <c r="E11" s="68">
        <v>35.270000000000003</v>
      </c>
      <c r="F11" s="68">
        <v>58.26</v>
      </c>
      <c r="G11" s="68">
        <v>39.25</v>
      </c>
      <c r="H11" s="68">
        <v>32.229999999999997</v>
      </c>
      <c r="I11" s="68">
        <v>30.07</v>
      </c>
    </row>
    <row r="12" spans="1:9" ht="13.8">
      <c r="A12" s="19" t="s">
        <v>113</v>
      </c>
      <c r="B12" s="68">
        <v>32.549999999999997</v>
      </c>
      <c r="C12" s="68">
        <v>40.92</v>
      </c>
      <c r="D12" s="68">
        <v>53.54</v>
      </c>
      <c r="E12" s="68">
        <v>38.729999999999997</v>
      </c>
      <c r="F12" s="68">
        <v>66.73</v>
      </c>
      <c r="G12" s="68">
        <v>37.43</v>
      </c>
      <c r="H12" s="68">
        <v>33.07</v>
      </c>
      <c r="I12" s="68">
        <v>34.75</v>
      </c>
    </row>
    <row r="13" spans="1:9" ht="13.8">
      <c r="A13" s="19" t="s">
        <v>114</v>
      </c>
      <c r="B13" s="68">
        <v>30.04</v>
      </c>
      <c r="C13" s="68">
        <v>31.87</v>
      </c>
      <c r="D13" s="68">
        <v>54.57</v>
      </c>
      <c r="E13" s="68">
        <v>38.270000000000003</v>
      </c>
      <c r="F13" s="68">
        <v>66.72</v>
      </c>
      <c r="G13" s="68">
        <v>30.35</v>
      </c>
      <c r="H13" s="68">
        <v>34.159999999999997</v>
      </c>
      <c r="I13" s="68">
        <v>31.21</v>
      </c>
    </row>
    <row r="14" spans="1:9" ht="13.8">
      <c r="A14" s="19" t="s">
        <v>115</v>
      </c>
      <c r="B14" s="68">
        <v>28.26</v>
      </c>
      <c r="C14" s="68">
        <v>35.14</v>
      </c>
      <c r="D14" s="68">
        <v>53.28</v>
      </c>
      <c r="E14" s="68">
        <v>36.090000000000003</v>
      </c>
      <c r="F14" s="68">
        <v>64.72</v>
      </c>
      <c r="G14" s="68">
        <v>26.93</v>
      </c>
      <c r="H14" s="68">
        <v>31.65</v>
      </c>
      <c r="I14" s="68">
        <v>33.11</v>
      </c>
    </row>
    <row r="15" spans="1:9" ht="13.8">
      <c r="A15" s="19" t="s">
        <v>32</v>
      </c>
      <c r="B15" s="68">
        <v>29.65</v>
      </c>
      <c r="C15" s="68">
        <v>40.18</v>
      </c>
      <c r="D15" s="68">
        <v>65.03</v>
      </c>
      <c r="E15" s="68">
        <v>37.869999999999997</v>
      </c>
      <c r="F15" s="68">
        <v>62</v>
      </c>
      <c r="G15" s="68">
        <v>39.47</v>
      </c>
      <c r="H15" s="68">
        <v>35.75</v>
      </c>
      <c r="I15" s="68">
        <v>38.369999999999997</v>
      </c>
    </row>
    <row r="16" spans="1:9" ht="16.2">
      <c r="A16" s="19" t="s">
        <v>133</v>
      </c>
      <c r="B16" s="68">
        <v>56.87</v>
      </c>
      <c r="C16" s="68">
        <v>80.94</v>
      </c>
      <c r="D16" s="68">
        <v>79.000000000000014</v>
      </c>
      <c r="E16" s="68">
        <v>70.459999999999994</v>
      </c>
      <c r="F16" s="68">
        <v>101.4</v>
      </c>
      <c r="G16" s="68">
        <v>44</v>
      </c>
      <c r="H16" s="68">
        <v>43.5</v>
      </c>
      <c r="I16" s="68">
        <v>39</v>
      </c>
    </row>
    <row r="17" spans="1:10" ht="16.2">
      <c r="A17" s="19" t="s">
        <v>134</v>
      </c>
      <c r="B17" s="68">
        <v>65</v>
      </c>
      <c r="C17" s="68">
        <v>95</v>
      </c>
      <c r="D17" s="68">
        <v>100</v>
      </c>
      <c r="E17" s="68">
        <v>80</v>
      </c>
      <c r="F17" s="68">
        <v>105</v>
      </c>
      <c r="G17" s="68">
        <v>78</v>
      </c>
      <c r="H17" s="68">
        <v>56</v>
      </c>
      <c r="I17" s="68">
        <v>58</v>
      </c>
      <c r="J17" s="146"/>
    </row>
    <row r="18" spans="1:10" ht="13.8">
      <c r="A18" s="19"/>
      <c r="B18" s="38"/>
      <c r="C18" s="70"/>
      <c r="D18" s="81"/>
      <c r="E18" s="81"/>
      <c r="F18" s="81"/>
      <c r="G18" s="81"/>
      <c r="H18" s="19"/>
      <c r="I18" s="19"/>
    </row>
    <row r="19" spans="1:10" ht="13.8">
      <c r="A19" s="41" t="s">
        <v>36</v>
      </c>
      <c r="B19" s="68"/>
      <c r="C19" s="68"/>
      <c r="D19" s="68"/>
      <c r="E19" s="68"/>
      <c r="F19" s="68"/>
      <c r="G19" s="68"/>
      <c r="H19" s="68"/>
      <c r="I19" s="68"/>
    </row>
    <row r="20" spans="1:10" ht="13.8">
      <c r="A20" s="23" t="s">
        <v>38</v>
      </c>
      <c r="B20" s="68">
        <v>33.909999999999997</v>
      </c>
      <c r="C20" s="68">
        <v>48.35</v>
      </c>
      <c r="D20" s="68">
        <v>57</v>
      </c>
      <c r="E20" s="68">
        <v>44.35</v>
      </c>
      <c r="F20" s="68">
        <v>93</v>
      </c>
      <c r="G20" s="68">
        <v>42.4375</v>
      </c>
      <c r="H20" s="68" t="s">
        <v>74</v>
      </c>
      <c r="I20" s="68">
        <v>34.5</v>
      </c>
    </row>
    <row r="21" spans="1:10" ht="13.8">
      <c r="A21" s="23" t="s">
        <v>39</v>
      </c>
      <c r="B21" s="68">
        <v>37.79</v>
      </c>
      <c r="C21" s="68">
        <v>54.4375</v>
      </c>
      <c r="D21" s="68" t="s">
        <v>74</v>
      </c>
      <c r="E21" s="68">
        <v>49.5</v>
      </c>
      <c r="F21" s="68">
        <v>98.75</v>
      </c>
      <c r="G21" s="68">
        <v>42.524999999999999</v>
      </c>
      <c r="H21" s="68">
        <v>41</v>
      </c>
      <c r="I21" s="68">
        <v>34</v>
      </c>
    </row>
    <row r="22" spans="1:10" ht="13.8">
      <c r="A22" s="23" t="s">
        <v>41</v>
      </c>
      <c r="B22" s="68">
        <v>40.85</v>
      </c>
      <c r="C22" s="68">
        <v>59.2</v>
      </c>
      <c r="D22" s="68" t="s">
        <v>74</v>
      </c>
      <c r="E22" s="68">
        <v>51.65</v>
      </c>
      <c r="F22" s="68">
        <v>100</v>
      </c>
      <c r="G22" s="68">
        <v>41.725000000000001</v>
      </c>
      <c r="H22" s="68" t="s">
        <v>74</v>
      </c>
      <c r="I22" s="68">
        <v>36.25</v>
      </c>
    </row>
    <row r="23" spans="1:10" ht="13.8">
      <c r="A23" s="23" t="s">
        <v>42</v>
      </c>
      <c r="B23" s="68">
        <v>44.31</v>
      </c>
      <c r="C23" s="68">
        <v>63.1875</v>
      </c>
      <c r="D23" s="68" t="s">
        <v>74</v>
      </c>
      <c r="E23" s="68">
        <v>53.3125</v>
      </c>
      <c r="F23" s="68">
        <v>90</v>
      </c>
      <c r="G23" s="68">
        <v>43.337499999999999</v>
      </c>
      <c r="H23" s="68" t="s">
        <v>74</v>
      </c>
      <c r="I23" s="68">
        <v>48.129999999999995</v>
      </c>
    </row>
    <row r="24" spans="1:10" ht="13.8">
      <c r="A24" s="23" t="s">
        <v>43</v>
      </c>
      <c r="B24" s="68">
        <v>48.37</v>
      </c>
      <c r="C24" s="68">
        <v>73.625</v>
      </c>
      <c r="D24" s="68" t="s">
        <v>74</v>
      </c>
      <c r="E24" s="68">
        <v>58.9375</v>
      </c>
      <c r="F24" s="68">
        <v>93</v>
      </c>
      <c r="G24" s="68">
        <v>44.945</v>
      </c>
      <c r="H24" s="68" t="s">
        <v>74</v>
      </c>
      <c r="I24" s="68">
        <v>53.125</v>
      </c>
    </row>
    <row r="25" spans="1:10" ht="13.8">
      <c r="A25" s="23" t="s">
        <v>45</v>
      </c>
      <c r="B25" s="68">
        <v>56</v>
      </c>
      <c r="C25" s="68">
        <v>86.9375</v>
      </c>
      <c r="D25" s="68" t="s">
        <v>74</v>
      </c>
      <c r="E25" s="68">
        <v>71.3125</v>
      </c>
      <c r="F25" s="68">
        <v>105.25</v>
      </c>
      <c r="G25" s="68">
        <v>52.05</v>
      </c>
      <c r="H25" s="68">
        <v>55</v>
      </c>
      <c r="I25" s="68">
        <v>55.943333333333328</v>
      </c>
    </row>
    <row r="26" spans="1:10" ht="13.8">
      <c r="A26" s="23" t="s">
        <v>46</v>
      </c>
      <c r="B26" s="68">
        <v>62.88</v>
      </c>
      <c r="C26" s="68">
        <v>92.65</v>
      </c>
      <c r="D26" s="68">
        <v>83</v>
      </c>
      <c r="E26" s="68">
        <v>79.55</v>
      </c>
      <c r="F26" s="68">
        <v>109.2</v>
      </c>
      <c r="G26" s="68">
        <v>59.8125</v>
      </c>
      <c r="H26" s="68" t="s">
        <v>74</v>
      </c>
      <c r="I26" s="68">
        <v>59.3825</v>
      </c>
    </row>
    <row r="27" spans="1:10" ht="13.8">
      <c r="A27" s="23" t="s">
        <v>47</v>
      </c>
      <c r="B27" s="68">
        <v>74.75</v>
      </c>
      <c r="C27" s="68">
        <v>102.1875</v>
      </c>
      <c r="D27" s="68">
        <v>83</v>
      </c>
      <c r="E27" s="68">
        <v>94.0625</v>
      </c>
      <c r="F27" s="68">
        <v>110</v>
      </c>
      <c r="G27" s="68">
        <v>68.25</v>
      </c>
      <c r="H27" s="68">
        <v>58</v>
      </c>
      <c r="I27" s="68">
        <v>64.724999999999994</v>
      </c>
      <c r="J27" s="85"/>
    </row>
    <row r="28" spans="1:10" ht="13.8">
      <c r="A28" s="23" t="s">
        <v>49</v>
      </c>
      <c r="B28" s="68">
        <v>74.75</v>
      </c>
      <c r="C28" s="68">
        <v>100.6875</v>
      </c>
      <c r="D28" s="68" t="s">
        <v>74</v>
      </c>
      <c r="E28" s="68">
        <v>93.5</v>
      </c>
      <c r="F28" s="68">
        <v>108.1875</v>
      </c>
      <c r="G28" s="68">
        <v>67.599999999999994</v>
      </c>
      <c r="H28" s="68" t="s">
        <v>74</v>
      </c>
      <c r="I28" s="68">
        <v>63.666666666666664</v>
      </c>
    </row>
    <row r="29" spans="1:10" ht="13.8">
      <c r="A29" s="23" t="s">
        <v>50</v>
      </c>
      <c r="B29" s="68">
        <v>72.930000000000007</v>
      </c>
      <c r="C29" s="68">
        <v>99.9</v>
      </c>
      <c r="D29" s="68" t="s">
        <v>74</v>
      </c>
      <c r="E29" s="68">
        <v>92.3</v>
      </c>
      <c r="F29" s="68">
        <v>106</v>
      </c>
      <c r="G29" s="68">
        <v>66.094999999999999</v>
      </c>
      <c r="H29" s="68" t="s">
        <v>74</v>
      </c>
      <c r="I29" s="68">
        <v>66.333333333333329</v>
      </c>
    </row>
    <row r="30" spans="1:10" ht="13.8">
      <c r="A30" s="23" t="s">
        <v>51</v>
      </c>
      <c r="B30" s="68">
        <v>70.010000000000005</v>
      </c>
      <c r="C30" s="68">
        <v>96.5</v>
      </c>
      <c r="D30" s="68" t="s">
        <v>74</v>
      </c>
      <c r="E30" s="68">
        <v>81</v>
      </c>
      <c r="F30" s="68">
        <v>108.75</v>
      </c>
      <c r="G30" s="68">
        <v>64.156000000000006</v>
      </c>
      <c r="H30" s="68">
        <v>72.333333333333329</v>
      </c>
      <c r="I30" s="68">
        <v>72</v>
      </c>
    </row>
    <row r="31" spans="1:10" ht="13.8">
      <c r="A31" s="23" t="s">
        <v>37</v>
      </c>
      <c r="B31" s="68">
        <v>65.930000000000007</v>
      </c>
      <c r="C31" s="68">
        <v>93.625</v>
      </c>
      <c r="D31" s="68" t="s">
        <v>74</v>
      </c>
      <c r="E31" s="68">
        <v>76</v>
      </c>
      <c r="F31" s="68">
        <v>105</v>
      </c>
      <c r="G31" s="68">
        <v>53.184999999999995</v>
      </c>
      <c r="H31" s="68" t="s">
        <v>74</v>
      </c>
      <c r="I31" s="68">
        <v>71.75</v>
      </c>
    </row>
    <row r="32" spans="1:10" ht="13.8">
      <c r="A32" s="23"/>
      <c r="B32" s="68"/>
      <c r="C32" s="68"/>
      <c r="D32" s="68"/>
      <c r="E32" s="68"/>
      <c r="F32" s="68"/>
      <c r="G32" s="68"/>
      <c r="H32" s="68"/>
      <c r="I32" s="68"/>
    </row>
    <row r="33" spans="1:9" ht="13.8">
      <c r="A33" s="55" t="s">
        <v>53</v>
      </c>
      <c r="B33" s="68"/>
      <c r="C33" s="68"/>
      <c r="D33" s="68"/>
      <c r="E33" s="68"/>
      <c r="F33" s="68"/>
      <c r="G33" s="68"/>
      <c r="H33" s="68"/>
      <c r="I33" s="68"/>
    </row>
    <row r="34" spans="1:9" ht="13.8">
      <c r="A34" s="23" t="s">
        <v>38</v>
      </c>
      <c r="B34" s="68">
        <v>70.42</v>
      </c>
      <c r="C34" s="68">
        <v>98.5</v>
      </c>
      <c r="D34" s="68">
        <v>129</v>
      </c>
      <c r="E34" s="68">
        <v>82.3</v>
      </c>
      <c r="F34" s="68">
        <v>101.5</v>
      </c>
      <c r="G34" s="68">
        <v>57.069999999999993</v>
      </c>
      <c r="H34" s="68" t="s">
        <v>74</v>
      </c>
      <c r="I34" s="68" t="s">
        <v>74</v>
      </c>
    </row>
    <row r="35" spans="1:9" ht="13.8">
      <c r="A35" s="23" t="s">
        <v>39</v>
      </c>
      <c r="B35" s="68">
        <v>66.459999999999994</v>
      </c>
      <c r="C35" s="68">
        <v>96.75</v>
      </c>
      <c r="D35" s="68">
        <v>125</v>
      </c>
      <c r="E35" s="68">
        <v>84.375</v>
      </c>
      <c r="F35" s="68">
        <v>100</v>
      </c>
      <c r="G35" s="68">
        <v>57.918000000000006</v>
      </c>
      <c r="H35" s="68" t="s">
        <v>74</v>
      </c>
      <c r="I35" s="68">
        <v>80.06</v>
      </c>
    </row>
    <row r="36" spans="1:9" ht="13.8">
      <c r="A36" s="17" t="s">
        <v>41</v>
      </c>
      <c r="B36" s="16">
        <v>63.69</v>
      </c>
      <c r="C36" s="16">
        <v>93.3</v>
      </c>
      <c r="D36" s="16">
        <v>125</v>
      </c>
      <c r="E36" s="16">
        <v>82.95</v>
      </c>
      <c r="F36" s="16">
        <v>100</v>
      </c>
      <c r="G36" s="16">
        <v>56.093333333333334</v>
      </c>
      <c r="H36" s="16" t="s">
        <v>74</v>
      </c>
      <c r="I36" s="16">
        <v>73</v>
      </c>
    </row>
    <row r="37" spans="1:9" ht="16.2">
      <c r="A37" s="58" t="s">
        <v>135</v>
      </c>
      <c r="B37" s="83"/>
      <c r="C37" s="83"/>
      <c r="D37" s="83"/>
      <c r="E37" s="83"/>
      <c r="F37" s="83"/>
      <c r="G37" s="83"/>
      <c r="H37" s="83"/>
      <c r="I37" s="83"/>
    </row>
    <row r="38" spans="1:9" ht="16.2">
      <c r="A38" s="19" t="s">
        <v>136</v>
      </c>
      <c r="B38" s="83"/>
      <c r="C38" s="83"/>
      <c r="D38" s="83"/>
      <c r="E38" s="83"/>
      <c r="F38" s="83"/>
      <c r="G38" s="83"/>
      <c r="H38" s="83"/>
      <c r="I38" s="83"/>
    </row>
    <row r="39" spans="1:9" ht="14.4">
      <c r="A39" s="19" t="s">
        <v>137</v>
      </c>
      <c r="B39" s="19"/>
      <c r="C39" s="19"/>
      <c r="D39" s="19"/>
      <c r="E39" s="19"/>
      <c r="F39" s="83"/>
      <c r="G39" s="19"/>
      <c r="H39" s="19"/>
      <c r="I39" s="19"/>
    </row>
    <row r="40" spans="1:9" ht="13.8">
      <c r="A40" s="25" t="s">
        <v>56</v>
      </c>
      <c r="B40" s="50">
        <f ca="1">NOW()</f>
        <v>44574.626822685183</v>
      </c>
      <c r="C40" s="19"/>
      <c r="D40" s="19"/>
      <c r="E40" s="19"/>
      <c r="F40" s="19"/>
      <c r="G40" s="19"/>
      <c r="H40" s="19"/>
      <c r="I40" s="19"/>
    </row>
    <row r="41" spans="1:9" ht="15.6">
      <c r="C41" s="84"/>
      <c r="G41" s="84"/>
      <c r="H41" s="84"/>
      <c r="I41" s="84"/>
    </row>
    <row r="42" spans="1:9" ht="15.6">
      <c r="B42" s="85"/>
      <c r="C42" s="84"/>
      <c r="G42" s="84"/>
      <c r="H42" s="84"/>
      <c r="I42" s="84"/>
    </row>
    <row r="43" spans="1:9" ht="15.6">
      <c r="B43" s="85"/>
      <c r="C43" s="125"/>
      <c r="G43" s="84"/>
      <c r="H43" s="84"/>
      <c r="I43" s="84"/>
    </row>
    <row r="44" spans="1:9" ht="15.6">
      <c r="C44" s="84"/>
      <c r="G44" s="84"/>
      <c r="H44" s="84"/>
      <c r="I44" s="84"/>
    </row>
    <row r="45" spans="1:9" ht="15.6">
      <c r="C45" s="84"/>
      <c r="G45" s="84"/>
      <c r="H45" s="84"/>
      <c r="I45" s="84"/>
    </row>
    <row r="46" spans="1:9" ht="15.6">
      <c r="C46" s="84"/>
      <c r="G46" s="84"/>
      <c r="H46" s="84"/>
      <c r="I46" s="84"/>
    </row>
    <row r="47" spans="1:9" ht="15.6">
      <c r="C47" s="84"/>
      <c r="G47" s="84"/>
      <c r="H47" s="84"/>
      <c r="I47" s="84"/>
    </row>
    <row r="48" spans="1:9" ht="15.6">
      <c r="C48" s="84"/>
      <c r="G48" s="84"/>
      <c r="H48" s="84"/>
      <c r="I48" s="84"/>
    </row>
    <row r="49" spans="3:9" ht="15.6">
      <c r="C49" s="84"/>
      <c r="G49" s="84"/>
      <c r="H49" s="84"/>
      <c r="I49" s="84"/>
    </row>
    <row r="50" spans="3:9" ht="15.6">
      <c r="C50" s="84"/>
      <c r="G50" s="84"/>
      <c r="H50" s="84"/>
      <c r="I50" s="84"/>
    </row>
    <row r="51" spans="3:9" ht="15.6">
      <c r="C51" s="84"/>
      <c r="G51" s="84"/>
      <c r="H51" s="84"/>
      <c r="I51" s="84"/>
    </row>
    <row r="52" spans="3:9" ht="15.6">
      <c r="C52" s="84"/>
      <c r="G52" s="84"/>
      <c r="H52" s="84"/>
      <c r="I52" s="84"/>
    </row>
    <row r="53" spans="3:9" ht="15.6">
      <c r="C53" s="84"/>
      <c r="G53" s="84"/>
      <c r="H53" s="84"/>
      <c r="I53" s="84"/>
    </row>
    <row r="54" spans="3:9" ht="15.6">
      <c r="C54" s="84"/>
      <c r="G54" s="84"/>
      <c r="H54" s="84"/>
      <c r="I54" s="84"/>
    </row>
    <row r="55" spans="3:9" ht="15.6">
      <c r="C55" s="84"/>
      <c r="G55" s="84"/>
      <c r="H55" s="84"/>
      <c r="I55" s="84"/>
    </row>
    <row r="56" spans="3:9" ht="15.6">
      <c r="C56" s="84"/>
      <c r="G56" s="84"/>
      <c r="H56" s="84"/>
      <c r="I56" s="84"/>
    </row>
    <row r="57" spans="3:9" ht="15.6">
      <c r="C57" s="84"/>
      <c r="H57" s="84"/>
      <c r="I57" s="84"/>
    </row>
    <row r="58" spans="3:9" ht="15.6">
      <c r="C58" s="84"/>
      <c r="H58" s="84"/>
      <c r="I58" s="84"/>
    </row>
    <row r="59" spans="3:9" ht="15.6">
      <c r="C59" s="84"/>
      <c r="F59" s="85"/>
      <c r="H59" s="84"/>
      <c r="I59" s="84"/>
    </row>
    <row r="60" spans="3:9" ht="15.6">
      <c r="F60" s="85"/>
      <c r="H60" s="84"/>
      <c r="I60" s="84"/>
    </row>
  </sheetData>
  <phoneticPr fontId="11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E52"/>
  <sheetViews>
    <sheetView showGridLines="0" zoomScale="70" zoomScaleNormal="70" workbookViewId="0"/>
  </sheetViews>
  <sheetFormatPr defaultColWidth="9.109375" defaultRowHeight="13.2"/>
  <cols>
    <col min="1" max="1" width="11.6640625" style="18" customWidth="1"/>
    <col min="2" max="7" width="13.6640625" style="18" customWidth="1"/>
    <col min="8" max="8" width="10.109375" style="18" bestFit="1" customWidth="1"/>
    <col min="9" max="9" width="9.109375" style="18"/>
    <col min="10" max="10" width="20.33203125" style="18" bestFit="1" customWidth="1"/>
    <col min="11" max="13" width="9.109375" style="18"/>
    <col min="14" max="14" width="8.88671875" style="18" customWidth="1"/>
    <col min="15" max="15" width="18" style="18" bestFit="1" customWidth="1"/>
    <col min="16" max="16384" width="9.109375" style="18"/>
  </cols>
  <sheetData>
    <row r="1" spans="1:31" ht="13.8">
      <c r="A1" s="17" t="s">
        <v>10</v>
      </c>
      <c r="B1" s="17"/>
      <c r="C1" s="17"/>
      <c r="D1" s="17"/>
      <c r="E1" s="17"/>
      <c r="F1" s="17"/>
      <c r="G1" s="17"/>
    </row>
    <row r="2" spans="1:31" ht="15.6" customHeight="1">
      <c r="A2" s="23" t="s">
        <v>95</v>
      </c>
      <c r="B2" s="40" t="s">
        <v>119</v>
      </c>
      <c r="C2" s="86" t="s">
        <v>120</v>
      </c>
      <c r="D2" s="86" t="s">
        <v>121</v>
      </c>
      <c r="E2" s="86" t="s">
        <v>123</v>
      </c>
      <c r="F2" s="40" t="s">
        <v>138</v>
      </c>
      <c r="G2" s="21" t="s">
        <v>139</v>
      </c>
      <c r="AE2" s="87"/>
    </row>
    <row r="3" spans="1:31" ht="15.6" customHeight="1">
      <c r="A3" s="17" t="s">
        <v>102</v>
      </c>
      <c r="B3" s="28" t="s">
        <v>140</v>
      </c>
      <c r="C3" s="28" t="s">
        <v>141</v>
      </c>
      <c r="D3" s="28" t="s">
        <v>142</v>
      </c>
      <c r="E3" s="28" t="s">
        <v>143</v>
      </c>
      <c r="F3" s="28" t="s">
        <v>144</v>
      </c>
      <c r="G3" s="28" t="s">
        <v>145</v>
      </c>
      <c r="AE3" s="87"/>
    </row>
    <row r="4" spans="1:31" ht="14.4">
      <c r="A4" s="19"/>
      <c r="B4" s="79" t="s">
        <v>146</v>
      </c>
      <c r="C4" s="80"/>
      <c r="D4" s="80"/>
      <c r="E4" s="80"/>
      <c r="F4" s="80"/>
      <c r="G4" s="80"/>
      <c r="AE4" s="87"/>
    </row>
    <row r="5" spans="1:31" ht="13.8">
      <c r="A5" s="19"/>
      <c r="B5" s="19"/>
      <c r="C5" s="19"/>
      <c r="D5" s="19"/>
      <c r="E5" s="19"/>
      <c r="F5" s="19"/>
      <c r="G5" s="19"/>
      <c r="AE5" s="87"/>
    </row>
    <row r="6" spans="1:31" ht="13.8">
      <c r="A6" s="19" t="s">
        <v>107</v>
      </c>
      <c r="B6" s="68">
        <v>345.52</v>
      </c>
      <c r="C6" s="68">
        <v>273.83999999999997</v>
      </c>
      <c r="D6" s="68">
        <v>219.72</v>
      </c>
      <c r="E6" s="88" t="s">
        <v>74</v>
      </c>
      <c r="F6" s="68">
        <v>263.63</v>
      </c>
      <c r="G6" s="68">
        <v>240.65</v>
      </c>
      <c r="AE6" s="87"/>
    </row>
    <row r="7" spans="1:31" ht="13.8">
      <c r="A7" s="19" t="s">
        <v>108</v>
      </c>
      <c r="B7" s="68">
        <v>393.53</v>
      </c>
      <c r="C7" s="68">
        <v>275.13</v>
      </c>
      <c r="D7" s="68">
        <v>246.75</v>
      </c>
      <c r="E7" s="88" t="s">
        <v>74</v>
      </c>
      <c r="F7" s="68">
        <v>307.58999999999997</v>
      </c>
      <c r="G7" s="68">
        <v>265.68</v>
      </c>
      <c r="AE7" s="87"/>
    </row>
    <row r="8" spans="1:31" ht="13.8">
      <c r="A8" s="19" t="s">
        <v>109</v>
      </c>
      <c r="B8" s="68">
        <v>468.11</v>
      </c>
      <c r="C8" s="68">
        <v>331.52</v>
      </c>
      <c r="D8" s="68">
        <v>241.57</v>
      </c>
      <c r="E8" s="88" t="s">
        <v>74</v>
      </c>
      <c r="F8" s="68">
        <v>354.22</v>
      </c>
      <c r="G8" s="68">
        <v>329.31</v>
      </c>
      <c r="AE8" s="87"/>
    </row>
    <row r="9" spans="1:31" ht="13.8">
      <c r="A9" s="19" t="s">
        <v>110</v>
      </c>
      <c r="B9" s="68">
        <v>489.94</v>
      </c>
      <c r="C9" s="68">
        <v>377.71</v>
      </c>
      <c r="D9" s="68">
        <v>238.87</v>
      </c>
      <c r="E9" s="88" t="s">
        <v>74</v>
      </c>
      <c r="F9" s="68">
        <v>359.7</v>
      </c>
      <c r="G9" s="68">
        <v>337.23</v>
      </c>
      <c r="AE9" s="87"/>
    </row>
    <row r="10" spans="1:31" ht="13.8">
      <c r="A10" s="19" t="s">
        <v>111</v>
      </c>
      <c r="B10" s="68">
        <v>368.49</v>
      </c>
      <c r="C10" s="68">
        <v>304.27</v>
      </c>
      <c r="D10" s="68">
        <v>209.97</v>
      </c>
      <c r="E10" s="88" t="s">
        <v>74</v>
      </c>
      <c r="F10" s="68">
        <v>301.2</v>
      </c>
      <c r="G10" s="68">
        <v>256.58</v>
      </c>
      <c r="AE10" s="87"/>
    </row>
    <row r="11" spans="1:31" ht="13.8">
      <c r="A11" s="19" t="s">
        <v>112</v>
      </c>
      <c r="B11" s="68">
        <v>324.56</v>
      </c>
      <c r="C11" s="68">
        <v>261.19</v>
      </c>
      <c r="D11" s="68">
        <v>153.16999999999999</v>
      </c>
      <c r="E11" s="88" t="s">
        <v>74</v>
      </c>
      <c r="F11" s="68">
        <v>262.2</v>
      </c>
      <c r="G11" s="68">
        <v>260.23</v>
      </c>
      <c r="AE11" s="87"/>
    </row>
    <row r="12" spans="1:31" ht="13.8">
      <c r="A12" s="19" t="s">
        <v>113</v>
      </c>
      <c r="B12" s="68">
        <v>316.88</v>
      </c>
      <c r="C12" s="68">
        <v>208.61</v>
      </c>
      <c r="D12" s="68">
        <v>145.1</v>
      </c>
      <c r="E12" s="88" t="s">
        <v>74</v>
      </c>
      <c r="F12" s="68">
        <v>267.94</v>
      </c>
      <c r="G12" s="68">
        <v>282.49</v>
      </c>
      <c r="AE12" s="87"/>
    </row>
    <row r="13" spans="1:31" ht="13.8">
      <c r="A13" s="19" t="s">
        <v>114</v>
      </c>
      <c r="B13" s="68">
        <v>345.02</v>
      </c>
      <c r="C13" s="68">
        <v>260.88</v>
      </c>
      <c r="D13" s="68">
        <v>173.53</v>
      </c>
      <c r="E13" s="88" t="s">
        <v>74</v>
      </c>
      <c r="F13" s="68">
        <v>291.14999999999998</v>
      </c>
      <c r="G13" s="68">
        <v>239.15</v>
      </c>
    </row>
    <row r="14" spans="1:31" ht="13.8">
      <c r="A14" s="19" t="s">
        <v>115</v>
      </c>
      <c r="B14" s="68">
        <v>308.27999999999997</v>
      </c>
      <c r="C14" s="68">
        <v>228.64</v>
      </c>
      <c r="D14" s="82">
        <v>164.16</v>
      </c>
      <c r="E14" s="88" t="s">
        <v>74</v>
      </c>
      <c r="F14" s="68">
        <v>272.38</v>
      </c>
      <c r="G14" s="68">
        <v>225.77</v>
      </c>
    </row>
    <row r="15" spans="1:31" ht="13.8">
      <c r="A15" s="19" t="s">
        <v>32</v>
      </c>
      <c r="B15" s="68">
        <v>299.5</v>
      </c>
      <c r="C15" s="68">
        <v>247.04</v>
      </c>
      <c r="D15" s="82">
        <v>187.7</v>
      </c>
      <c r="E15" s="88" t="s">
        <v>74</v>
      </c>
      <c r="F15" s="68">
        <v>273.99</v>
      </c>
      <c r="G15" s="68">
        <v>245.88</v>
      </c>
    </row>
    <row r="16" spans="1:31" ht="16.2">
      <c r="A16" s="19" t="s">
        <v>147</v>
      </c>
      <c r="B16" s="68">
        <v>392.31</v>
      </c>
      <c r="C16" s="68">
        <v>375.51</v>
      </c>
      <c r="D16" s="82">
        <v>246.22</v>
      </c>
      <c r="E16" s="88" t="s">
        <v>74</v>
      </c>
      <c r="F16" s="68">
        <v>351.87</v>
      </c>
      <c r="G16" s="68">
        <v>288.12</v>
      </c>
    </row>
    <row r="17" spans="1:16" ht="16.2">
      <c r="A17" s="19" t="s">
        <v>148</v>
      </c>
      <c r="B17" s="68">
        <v>375</v>
      </c>
      <c r="C17" s="68">
        <v>315</v>
      </c>
      <c r="D17" s="82">
        <v>265</v>
      </c>
      <c r="E17" s="88" t="s">
        <v>74</v>
      </c>
      <c r="F17" s="68">
        <v>355</v>
      </c>
      <c r="G17" s="68">
        <v>275</v>
      </c>
    </row>
    <row r="18" spans="1:16" ht="13.8">
      <c r="A18" s="23"/>
      <c r="B18" s="68"/>
      <c r="C18" s="68"/>
      <c r="D18" s="68"/>
      <c r="E18" s="88"/>
      <c r="F18" s="68"/>
      <c r="G18" s="68"/>
      <c r="I18" s="89"/>
      <c r="J18" s="91"/>
      <c r="K18" s="91"/>
      <c r="L18" s="89"/>
      <c r="M18" s="91"/>
      <c r="N18" s="91"/>
      <c r="O18" s="91"/>
      <c r="P18" s="91"/>
    </row>
    <row r="19" spans="1:16" ht="13.8">
      <c r="A19" s="41" t="s">
        <v>36</v>
      </c>
      <c r="B19" s="68"/>
      <c r="C19" s="68"/>
      <c r="D19" s="68"/>
      <c r="E19" s="88"/>
      <c r="F19" s="68"/>
      <c r="G19" s="68"/>
      <c r="I19" s="90"/>
      <c r="J19" s="91"/>
      <c r="K19" s="91"/>
      <c r="L19" s="89"/>
      <c r="M19" s="89"/>
      <c r="P19" s="91"/>
    </row>
    <row r="20" spans="1:16" ht="13.8">
      <c r="A20" s="19" t="s">
        <v>38</v>
      </c>
      <c r="B20" s="68">
        <v>367.11</v>
      </c>
      <c r="C20" s="68">
        <v>301.88</v>
      </c>
      <c r="D20" s="68">
        <v>211.25</v>
      </c>
      <c r="E20" s="88" t="s">
        <v>74</v>
      </c>
      <c r="F20" s="68">
        <v>327.24</v>
      </c>
      <c r="G20" s="68">
        <v>239.375</v>
      </c>
      <c r="H20" s="92"/>
      <c r="I20" s="89"/>
      <c r="J20" s="91"/>
      <c r="K20" s="91"/>
      <c r="L20" s="89"/>
      <c r="M20" s="89"/>
      <c r="P20" s="91"/>
    </row>
    <row r="21" spans="1:16" ht="13.8">
      <c r="A21" s="19" t="s">
        <v>39</v>
      </c>
      <c r="B21" s="68">
        <v>387.83</v>
      </c>
      <c r="C21" s="68">
        <v>365.63</v>
      </c>
      <c r="D21" s="68">
        <v>216.25</v>
      </c>
      <c r="E21" s="88" t="s">
        <v>74</v>
      </c>
      <c r="F21" s="68">
        <v>333.89</v>
      </c>
      <c r="G21" s="68">
        <v>253.75</v>
      </c>
      <c r="H21" s="92"/>
      <c r="I21" s="89"/>
      <c r="J21" s="19"/>
      <c r="K21" s="91"/>
      <c r="L21" s="89"/>
      <c r="M21" s="89"/>
    </row>
    <row r="22" spans="1:16" ht="13.8">
      <c r="A22" s="19" t="s">
        <v>41</v>
      </c>
      <c r="B22" s="68">
        <v>396.68</v>
      </c>
      <c r="C22" s="68">
        <v>435.83</v>
      </c>
      <c r="D22" s="68">
        <v>252.5</v>
      </c>
      <c r="E22" s="88" t="s">
        <v>74</v>
      </c>
      <c r="F22" s="68">
        <v>338.55</v>
      </c>
      <c r="G22" s="68">
        <v>275</v>
      </c>
      <c r="H22" s="92"/>
      <c r="I22" s="89"/>
      <c r="J22" s="19"/>
      <c r="K22" s="91"/>
      <c r="L22" s="89"/>
    </row>
    <row r="23" spans="1:16" ht="13.8">
      <c r="A23" s="23" t="s">
        <v>42</v>
      </c>
      <c r="B23" s="68">
        <v>439.24</v>
      </c>
      <c r="C23" s="68">
        <v>443.75</v>
      </c>
      <c r="D23" s="68">
        <v>280.63</v>
      </c>
      <c r="E23" s="88" t="s">
        <v>74</v>
      </c>
      <c r="F23" s="68">
        <v>387.53</v>
      </c>
      <c r="G23" s="68">
        <v>313.125</v>
      </c>
      <c r="I23" s="89"/>
      <c r="J23" s="91"/>
      <c r="K23" s="91"/>
      <c r="L23" s="91"/>
      <c r="M23" s="91"/>
      <c r="N23" s="91"/>
    </row>
    <row r="24" spans="1:16" ht="14.4">
      <c r="A24" s="23" t="s">
        <v>43</v>
      </c>
      <c r="B24" s="68">
        <v>427.28</v>
      </c>
      <c r="C24" s="68">
        <v>460</v>
      </c>
      <c r="D24" s="68">
        <v>291.88</v>
      </c>
      <c r="E24" s="88" t="s">
        <v>74</v>
      </c>
      <c r="F24" s="68">
        <v>376.07499999999999</v>
      </c>
      <c r="G24" s="68">
        <v>296.25</v>
      </c>
      <c r="I24" s="89"/>
      <c r="J24" s="93"/>
      <c r="K24" s="91"/>
      <c r="L24" s="89"/>
      <c r="M24" s="89"/>
      <c r="O24" s="91"/>
    </row>
    <row r="25" spans="1:16" ht="13.8">
      <c r="A25" s="23" t="s">
        <v>45</v>
      </c>
      <c r="B25" s="68">
        <v>410.02</v>
      </c>
      <c r="C25" s="68">
        <v>456</v>
      </c>
      <c r="D25" s="68">
        <v>279.5</v>
      </c>
      <c r="E25" s="88" t="s">
        <v>74</v>
      </c>
      <c r="F25" s="68">
        <v>365.14</v>
      </c>
      <c r="G25" s="68">
        <v>322</v>
      </c>
      <c r="I25" s="89"/>
      <c r="J25" s="23"/>
      <c r="K25" s="89"/>
      <c r="L25" s="89"/>
      <c r="M25" s="89"/>
      <c r="O25" s="91"/>
    </row>
    <row r="26" spans="1:16" ht="13.8">
      <c r="A26" s="23" t="s">
        <v>46</v>
      </c>
      <c r="B26" s="68">
        <v>413.36</v>
      </c>
      <c r="C26" s="68">
        <v>415</v>
      </c>
      <c r="D26" s="68">
        <v>258.125</v>
      </c>
      <c r="E26" s="88" t="s">
        <v>74</v>
      </c>
      <c r="F26" s="68">
        <v>377.57499999999999</v>
      </c>
      <c r="G26" s="68">
        <v>318.75</v>
      </c>
      <c r="I26" s="41"/>
      <c r="J26" s="23"/>
      <c r="K26" s="89"/>
      <c r="L26" s="89"/>
      <c r="M26" s="89"/>
      <c r="O26" s="91"/>
    </row>
    <row r="27" spans="1:16" ht="13.8">
      <c r="A27" s="23" t="s">
        <v>47</v>
      </c>
      <c r="B27" s="68">
        <v>421.03</v>
      </c>
      <c r="C27" s="68">
        <v>360.625</v>
      </c>
      <c r="D27" s="68">
        <v>265</v>
      </c>
      <c r="E27" s="88" t="s">
        <v>74</v>
      </c>
      <c r="F27" s="68">
        <v>391.45</v>
      </c>
      <c r="G27" s="68">
        <v>335.63</v>
      </c>
      <c r="I27" s="19"/>
      <c r="J27" s="23"/>
      <c r="K27" s="89"/>
      <c r="L27" s="89"/>
      <c r="M27" s="89"/>
      <c r="O27" s="91"/>
    </row>
    <row r="28" spans="1:16" ht="13.8">
      <c r="A28" s="23" t="s">
        <v>49</v>
      </c>
      <c r="B28" s="68">
        <v>378.18</v>
      </c>
      <c r="C28" s="68">
        <v>337.5</v>
      </c>
      <c r="D28" s="68">
        <v>252.5</v>
      </c>
      <c r="E28" s="88" t="s">
        <v>74</v>
      </c>
      <c r="F28" s="68">
        <v>345.9</v>
      </c>
      <c r="G28" s="68">
        <v>293.5</v>
      </c>
      <c r="I28" s="19"/>
      <c r="J28" s="23"/>
      <c r="K28" s="89"/>
      <c r="L28" s="89"/>
      <c r="M28" s="89"/>
      <c r="O28" s="91"/>
    </row>
    <row r="29" spans="1:16" ht="13.8">
      <c r="A29" s="23" t="s">
        <v>50</v>
      </c>
      <c r="B29" s="68">
        <v>365.23</v>
      </c>
      <c r="C29" s="68">
        <v>321.875</v>
      </c>
      <c r="D29" s="68">
        <v>206.25</v>
      </c>
      <c r="E29" s="88" t="s">
        <v>74</v>
      </c>
      <c r="F29" s="68">
        <v>326.67499999999995</v>
      </c>
      <c r="G29" s="68">
        <v>262.5</v>
      </c>
      <c r="I29" s="19"/>
      <c r="J29" s="23"/>
      <c r="K29" s="89"/>
      <c r="L29" s="89"/>
      <c r="M29" s="89"/>
      <c r="O29" s="91"/>
    </row>
    <row r="30" spans="1:16" ht="13.8">
      <c r="A30" s="23" t="s">
        <v>51</v>
      </c>
      <c r="B30" s="68">
        <v>358.21</v>
      </c>
      <c r="C30" s="68">
        <v>303</v>
      </c>
      <c r="D30" s="68">
        <v>219.5</v>
      </c>
      <c r="E30" s="88" t="s">
        <v>74</v>
      </c>
      <c r="F30" s="68">
        <v>329.45</v>
      </c>
      <c r="G30" s="68">
        <v>287.5</v>
      </c>
      <c r="I30" s="19"/>
      <c r="J30" s="23"/>
      <c r="K30" s="89"/>
      <c r="L30" s="89"/>
      <c r="M30" s="89"/>
      <c r="O30" s="91"/>
    </row>
    <row r="31" spans="1:16" ht="13.8">
      <c r="A31" s="23" t="s">
        <v>37</v>
      </c>
      <c r="B31" s="68">
        <v>343.55</v>
      </c>
      <c r="C31" s="68">
        <v>305</v>
      </c>
      <c r="D31" s="68">
        <v>221.25</v>
      </c>
      <c r="E31" s="88" t="s">
        <v>74</v>
      </c>
      <c r="F31" s="68">
        <v>322.96249999999998</v>
      </c>
      <c r="G31" s="68">
        <v>260</v>
      </c>
      <c r="I31" s="19"/>
      <c r="J31" s="23"/>
      <c r="K31" s="89"/>
      <c r="L31" s="89"/>
      <c r="M31" s="89"/>
      <c r="O31" s="91"/>
    </row>
    <row r="32" spans="1:16" ht="13.8">
      <c r="A32" s="23"/>
      <c r="B32" s="68"/>
      <c r="C32" s="68"/>
      <c r="D32" s="68"/>
      <c r="E32" s="68"/>
      <c r="F32" s="68"/>
      <c r="G32" s="68"/>
      <c r="H32" s="68"/>
      <c r="I32" s="68"/>
    </row>
    <row r="33" spans="1:13" ht="13.8">
      <c r="A33" s="55" t="s">
        <v>53</v>
      </c>
      <c r="B33" s="68"/>
      <c r="C33" s="68"/>
      <c r="D33" s="68"/>
      <c r="E33" s="68"/>
      <c r="F33" s="68"/>
      <c r="G33" s="68"/>
      <c r="H33" s="68"/>
      <c r="I33" s="68"/>
    </row>
    <row r="34" spans="1:13" ht="13.8">
      <c r="A34" s="23" t="s">
        <v>38</v>
      </c>
      <c r="B34" s="68">
        <v>325.43</v>
      </c>
      <c r="C34" s="68">
        <v>298.75</v>
      </c>
      <c r="D34" s="68">
        <v>222.5</v>
      </c>
      <c r="E34" s="88" t="s">
        <v>74</v>
      </c>
      <c r="F34" s="68">
        <v>322.82499999999999</v>
      </c>
      <c r="G34" s="68">
        <v>265.625</v>
      </c>
      <c r="H34" s="68"/>
      <c r="I34" s="68"/>
    </row>
    <row r="35" spans="1:13" ht="13.8">
      <c r="A35" s="23" t="s">
        <v>39</v>
      </c>
      <c r="B35" s="68">
        <v>358.73</v>
      </c>
      <c r="C35" s="68">
        <v>304.5</v>
      </c>
      <c r="D35" s="68">
        <v>256.5</v>
      </c>
      <c r="E35" s="88" t="s">
        <v>74</v>
      </c>
      <c r="F35" s="68">
        <v>350.21999999999997</v>
      </c>
      <c r="G35" s="68">
        <v>252</v>
      </c>
      <c r="H35" s="68"/>
      <c r="I35" s="68"/>
    </row>
    <row r="36" spans="1:13" ht="13.8">
      <c r="A36" s="17" t="s">
        <v>41</v>
      </c>
      <c r="B36" s="16">
        <v>399.53</v>
      </c>
      <c r="C36" s="16">
        <v>311.25</v>
      </c>
      <c r="D36" s="16">
        <v>289.16666666666669</v>
      </c>
      <c r="E36" s="133" t="s">
        <v>74</v>
      </c>
      <c r="F36" s="16">
        <v>382.9666666666667</v>
      </c>
      <c r="G36" s="16">
        <v>309.16666666666669</v>
      </c>
      <c r="H36" s="68"/>
      <c r="I36" s="68"/>
    </row>
    <row r="37" spans="1:13" ht="16.2">
      <c r="A37" s="58" t="s">
        <v>149</v>
      </c>
      <c r="B37" s="94"/>
      <c r="C37" s="94"/>
      <c r="D37" s="94"/>
      <c r="E37" s="94"/>
      <c r="F37" s="94"/>
      <c r="G37" s="94"/>
      <c r="I37" s="19"/>
      <c r="J37" s="89"/>
      <c r="K37" s="89"/>
      <c r="L37" s="89"/>
    </row>
    <row r="38" spans="1:13" ht="16.2">
      <c r="A38" s="58" t="s">
        <v>172</v>
      </c>
      <c r="B38" s="95"/>
      <c r="C38" s="95"/>
      <c r="D38" s="95"/>
      <c r="E38" s="95"/>
      <c r="F38" s="95"/>
      <c r="G38" s="95"/>
      <c r="I38" s="19"/>
      <c r="J38" s="68"/>
      <c r="K38" s="89"/>
      <c r="L38" s="89"/>
      <c r="M38" s="89"/>
    </row>
    <row r="39" spans="1:13" ht="13.8">
      <c r="A39" s="19"/>
      <c r="B39" s="95"/>
      <c r="C39" s="95"/>
      <c r="D39" s="95"/>
      <c r="E39" s="95"/>
      <c r="F39" s="95"/>
      <c r="G39" s="95"/>
      <c r="H39" s="59"/>
      <c r="I39" s="23"/>
      <c r="J39" s="68"/>
      <c r="K39" s="89"/>
      <c r="L39" s="89"/>
      <c r="M39" s="89"/>
    </row>
    <row r="40" spans="1:13" ht="14.4">
      <c r="A40" s="19" t="s">
        <v>150</v>
      </c>
      <c r="B40" s="19"/>
      <c r="C40" s="19"/>
      <c r="D40" s="19"/>
      <c r="E40" s="19"/>
      <c r="F40" s="95"/>
      <c r="G40" s="95"/>
      <c r="I40" s="23"/>
      <c r="J40" s="68"/>
      <c r="K40" s="89"/>
      <c r="L40" s="89"/>
      <c r="M40" s="89"/>
    </row>
    <row r="41" spans="1:13" ht="13.8">
      <c r="A41" s="25" t="s">
        <v>56</v>
      </c>
      <c r="B41" s="50">
        <f ca="1">NOW()</f>
        <v>44574.626822685183</v>
      </c>
      <c r="C41" s="19"/>
      <c r="D41" s="19"/>
      <c r="E41" s="19"/>
      <c r="F41" s="95"/>
      <c r="G41" s="95"/>
      <c r="I41" s="23"/>
      <c r="J41" s="68"/>
      <c r="K41" s="96"/>
      <c r="L41" s="96"/>
      <c r="M41" s="96"/>
    </row>
    <row r="42" spans="1:13" ht="13.8">
      <c r="F42" s="95"/>
      <c r="G42" s="95"/>
      <c r="I42" s="23"/>
      <c r="J42" s="68"/>
      <c r="K42" s="96"/>
      <c r="L42" s="96"/>
      <c r="M42" s="96"/>
    </row>
    <row r="43" spans="1:13" ht="13.8">
      <c r="F43" s="95"/>
      <c r="G43" s="95"/>
      <c r="I43" s="23"/>
      <c r="J43" s="68"/>
      <c r="K43" s="89"/>
      <c r="L43" s="89"/>
      <c r="M43" s="89"/>
    </row>
    <row r="44" spans="1:13">
      <c r="I44" s="97"/>
      <c r="J44" s="97"/>
      <c r="K44" s="89"/>
      <c r="L44" s="89"/>
      <c r="M44" s="89"/>
    </row>
    <row r="45" spans="1:13">
      <c r="I45" s="98"/>
      <c r="J45" s="98"/>
      <c r="K45" s="89"/>
      <c r="L45" s="89"/>
      <c r="M45" s="89"/>
    </row>
    <row r="46" spans="1:13">
      <c r="I46" s="98"/>
      <c r="J46" s="98"/>
      <c r="K46" s="89"/>
      <c r="L46" s="89"/>
      <c r="M46" s="89"/>
    </row>
    <row r="47" spans="1:13">
      <c r="I47" s="98"/>
      <c r="J47" s="98"/>
      <c r="K47" s="89"/>
      <c r="L47" s="89"/>
      <c r="M47" s="89"/>
    </row>
    <row r="48" spans="1:13">
      <c r="I48" s="98"/>
      <c r="J48" s="98"/>
      <c r="K48" s="89"/>
      <c r="L48" s="89"/>
      <c r="M48" s="89"/>
    </row>
    <row r="50" spans="9:13">
      <c r="I50" s="99"/>
      <c r="J50" s="99"/>
      <c r="K50" s="99"/>
      <c r="L50" s="99"/>
      <c r="M50" s="99"/>
    </row>
    <row r="51" spans="9:13">
      <c r="I51" s="99"/>
      <c r="J51" s="99"/>
      <c r="K51" s="99"/>
      <c r="L51" s="99"/>
      <c r="M51" s="99"/>
    </row>
    <row r="52" spans="9:13">
      <c r="J52" s="99"/>
    </row>
  </sheetData>
  <phoneticPr fontId="11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A614F-86D5-499D-A4F0-1FA417923D2A}">
  <dimension ref="A1:E43"/>
  <sheetViews>
    <sheetView zoomScale="90" zoomScaleNormal="90" workbookViewId="0"/>
  </sheetViews>
  <sheetFormatPr defaultColWidth="8.88671875" defaultRowHeight="13.2"/>
  <cols>
    <col min="1" max="1" width="14.33203125" style="127" customWidth="1"/>
    <col min="2" max="2" width="10" style="127" customWidth="1"/>
    <col min="3" max="3" width="8.88671875" style="127"/>
    <col min="4" max="4" width="10.6640625" style="127" customWidth="1"/>
    <col min="5" max="16384" width="8.88671875" style="127"/>
  </cols>
  <sheetData>
    <row r="1" spans="1:5" ht="26.4">
      <c r="A1" s="126" t="s">
        <v>151</v>
      </c>
      <c r="B1" s="126" t="s">
        <v>156</v>
      </c>
      <c r="C1" s="126" t="s">
        <v>164</v>
      </c>
      <c r="D1" s="126" t="s">
        <v>165</v>
      </c>
      <c r="E1" s="126" t="s">
        <v>173</v>
      </c>
    </row>
    <row r="2" spans="1:5">
      <c r="A2" s="128" t="s">
        <v>157</v>
      </c>
      <c r="B2" s="149">
        <v>26.995999999999999</v>
      </c>
      <c r="C2" s="149">
        <v>32.112000000000002</v>
      </c>
      <c r="D2" s="149">
        <v>8.2080000000000002</v>
      </c>
      <c r="E2" s="140">
        <v>27.554999999999993</v>
      </c>
    </row>
    <row r="3" spans="1:5">
      <c r="A3" s="128" t="s">
        <v>158</v>
      </c>
      <c r="B3" s="149">
        <v>23.734000000000002</v>
      </c>
      <c r="C3" s="149">
        <v>32.695999999999998</v>
      </c>
      <c r="D3" s="149">
        <v>11.923</v>
      </c>
      <c r="E3" s="140">
        <v>31.722999999999999</v>
      </c>
    </row>
    <row r="4" spans="1:5">
      <c r="A4" s="128" t="s">
        <v>159</v>
      </c>
      <c r="B4" s="149">
        <v>28.89</v>
      </c>
      <c r="C4" s="149">
        <v>32.472000000000001</v>
      </c>
      <c r="D4" s="149">
        <v>24.74</v>
      </c>
      <c r="E4" s="140">
        <v>27.984999999999999</v>
      </c>
    </row>
    <row r="5" spans="1:5">
      <c r="A5" s="128" t="s">
        <v>160</v>
      </c>
      <c r="B5" s="149">
        <v>26.65</v>
      </c>
      <c r="C5" s="149">
        <v>20</v>
      </c>
      <c r="D5" s="149">
        <v>14.276</v>
      </c>
      <c r="E5" s="140">
        <v>34.668999999999997</v>
      </c>
    </row>
    <row r="6" spans="1:5">
      <c r="A6" s="128" t="s">
        <v>161</v>
      </c>
      <c r="B6" s="149">
        <v>25.06</v>
      </c>
      <c r="C6" s="149">
        <v>27.954000000000001</v>
      </c>
      <c r="D6" s="149">
        <v>6.9939999999999998</v>
      </c>
      <c r="E6" s="140">
        <v>39.872</v>
      </c>
    </row>
    <row r="7" spans="1:5">
      <c r="A7" s="128" t="s">
        <v>162</v>
      </c>
      <c r="B7" s="150">
        <v>24.61</v>
      </c>
      <c r="C7" s="140">
        <v>28.25</v>
      </c>
      <c r="D7" s="140">
        <v>9.2509999999999994</v>
      </c>
      <c r="E7" s="140">
        <v>39.889999999999993</v>
      </c>
    </row>
    <row r="8" spans="1:5">
      <c r="A8" s="128" t="s">
        <v>163</v>
      </c>
      <c r="B8" s="151">
        <v>22.61</v>
      </c>
      <c r="C8" s="140">
        <v>23.553999999999998</v>
      </c>
      <c r="D8" s="140">
        <v>9.5239999999999991</v>
      </c>
      <c r="E8" s="140">
        <v>39.515999999999991</v>
      </c>
    </row>
    <row r="9" spans="1:5">
      <c r="A9" s="128"/>
      <c r="B9" s="129"/>
      <c r="D9" s="153"/>
    </row>
    <row r="10" spans="1:5">
      <c r="B10" s="129"/>
    </row>
    <row r="11" spans="1:5">
      <c r="B11" s="129"/>
    </row>
    <row r="12" spans="1:5">
      <c r="B12" s="129"/>
    </row>
    <row r="13" spans="1:5">
      <c r="B13" s="129"/>
    </row>
    <row r="14" spans="1:5">
      <c r="B14" s="129"/>
    </row>
    <row r="15" spans="1:5">
      <c r="B15" s="129"/>
    </row>
    <row r="16" spans="1:5">
      <c r="B16" s="129"/>
    </row>
    <row r="17" spans="2:2">
      <c r="B17" s="130"/>
    </row>
    <row r="18" spans="2:2">
      <c r="B18" s="130"/>
    </row>
    <row r="19" spans="2:2">
      <c r="B19" s="130"/>
    </row>
    <row r="20" spans="2:2">
      <c r="B20" s="130"/>
    </row>
    <row r="21" spans="2:2">
      <c r="B21" s="130"/>
    </row>
    <row r="22" spans="2:2">
      <c r="B22" s="130"/>
    </row>
    <row r="23" spans="2:2">
      <c r="B23" s="130"/>
    </row>
    <row r="24" spans="2:2">
      <c r="B24" s="130"/>
    </row>
    <row r="25" spans="2:2">
      <c r="B25" s="130"/>
    </row>
    <row r="26" spans="2:2">
      <c r="B26" s="130"/>
    </row>
    <row r="27" spans="2:2">
      <c r="B27" s="130"/>
    </row>
    <row r="28" spans="2:2">
      <c r="B28" s="130"/>
    </row>
    <row r="29" spans="2:2">
      <c r="B29" s="130"/>
    </row>
    <row r="30" spans="2:2">
      <c r="B30" s="130"/>
    </row>
    <row r="31" spans="2:2">
      <c r="B31" s="130"/>
    </row>
    <row r="32" spans="2:2">
      <c r="B32" s="130"/>
    </row>
    <row r="33" spans="2:2">
      <c r="B33" s="130"/>
    </row>
    <row r="34" spans="2:2">
      <c r="B34" s="130"/>
    </row>
    <row r="35" spans="2:2">
      <c r="B35" s="130"/>
    </row>
    <row r="36" spans="2:2">
      <c r="B36" s="130"/>
    </row>
    <row r="37" spans="2:2">
      <c r="B37" s="130"/>
    </row>
    <row r="38" spans="2:2">
      <c r="B38" s="130"/>
    </row>
    <row r="39" spans="2:2">
      <c r="B39" s="130"/>
    </row>
    <row r="40" spans="2:2">
      <c r="B40" s="130"/>
    </row>
    <row r="41" spans="2:2">
      <c r="B41" s="130"/>
    </row>
    <row r="42" spans="2:2">
      <c r="B42" s="130"/>
    </row>
    <row r="43" spans="2:2">
      <c r="B43" s="130"/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CD0DC926965849A8A345859E8241FA" ma:contentTypeVersion="4" ma:contentTypeDescription="Create a new document." ma:contentTypeScope="" ma:versionID="fcfa4948a12298a5d5bcc2ee22a4a696">
  <xsd:schema xmlns:xsd="http://www.w3.org/2001/XMLSchema" xmlns:xs="http://www.w3.org/2001/XMLSchema" xmlns:p="http://schemas.microsoft.com/office/2006/metadata/properties" xmlns:ns2="3c1da50d-9398-43ae-99ce-979307744be1" xmlns:ns3="52a62a5d-c671-4f59-8453-00a85cb6d91a" targetNamespace="http://schemas.microsoft.com/office/2006/metadata/properties" ma:root="true" ma:fieldsID="07fe756e01c9eb82ae9cc357eb648aab" ns2:_="" ns3:_="">
    <xsd:import namespace="3c1da50d-9398-43ae-99ce-979307744be1"/>
    <xsd:import namespace="52a62a5d-c671-4f59-8453-00a85cb6d9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da50d-9398-43ae-99ce-979307744b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a62a5d-c671-4f59-8453-00a85cb6d9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33B626-EC00-43C6-98C5-1C0183C1E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da50d-9398-43ae-99ce-979307744be1"/>
    <ds:schemaRef ds:uri="52a62a5d-c671-4f59-8453-00a85cb6d9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F9FD27-698A-4259-BC06-6D4A65A05AE8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52a62a5d-c671-4f59-8453-00a85cb6d91a"/>
    <ds:schemaRef ds:uri="http://purl.org/dc/dcmitype/"/>
    <ds:schemaRef ds:uri="http://schemas.microsoft.com/office/2006/documentManagement/types"/>
    <ds:schemaRef ds:uri="http://schemas.microsoft.com/office/infopath/2007/PartnerControls"/>
    <ds:schemaRef ds:uri="3c1da50d-9398-43ae-99ce-979307744be1"/>
  </ds:schemaRefs>
</ds:datastoreItem>
</file>

<file path=customXml/itemProps3.xml><?xml version="1.0" encoding="utf-8"?>
<ds:datastoreItem xmlns:ds="http://schemas.openxmlformats.org/officeDocument/2006/customXml" ds:itemID="{9FA8D954-8A64-4F7C-B553-C236DC8A07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Figure 1</vt:lpstr>
      <vt:lpstr>Figure 2</vt:lpstr>
      <vt:lpstr>Figure 3</vt:lpstr>
      <vt:lpstr>Figure 4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Aaron Ates;Maria Bukowski</dc:creator>
  <cp:keywords>oil crops, outlook, soybeans, soybean meal, soybean oil, cottonseed, sunflowerseed, sunflowerseed oil, peanuts, canola, canola oil, supply, disappearance, price, USDA, U.S. Department of Agriculture, ERS, Economic Research Service</cp:keywords>
  <dc:description/>
  <cp:lastModifiedBy>Bukowski, Maria - REE-ERS, Kansas City, MO</cp:lastModifiedBy>
  <cp:revision/>
  <dcterms:created xsi:type="dcterms:W3CDTF">2001-11-13T16:22:15Z</dcterms:created>
  <dcterms:modified xsi:type="dcterms:W3CDTF">2022-01-13T21:05:39Z</dcterms:modified>
  <cp:category>Oilseeds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0x0101007FCD0DC926965849A8A345859E8241FA</vt:lpwstr>
  </property>
</Properties>
</file>