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MTEDopenteamandtrainingmaterials-OilCrops/Shared Documents/Oil Crops/December 2021/"/>
    </mc:Choice>
  </mc:AlternateContent>
  <xr:revisionPtr revIDLastSave="17" documentId="13_ncr:1_{244E2AA3-6280-4C7F-BA25-366C880A21A3}" xr6:coauthVersionLast="46" xr6:coauthVersionMax="47" xr10:uidLastSave="{3A8117DC-993F-40DB-9064-8F2DAB9518B1}"/>
  <bookViews>
    <workbookView xWindow="-120" yWindow="-120" windowWidth="20730" windowHeight="11160" tabRatio="682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47" r:id="rId9"/>
    <sheet name="Figure 2" sheetId="43" r:id="rId10"/>
    <sheet name="Figure 3" sheetId="52" r:id="rId11"/>
    <sheet name="Figure 4" sheetId="49" r:id="rId12"/>
    <sheet name="Figure 5" sheetId="51" r:id="rId13"/>
    <sheet name="Figure 6" sheetId="50" r:id="rId14"/>
  </sheets>
  <definedNames>
    <definedName name="_xlnm.Print_Area" localSheetId="1">'Table 1'!$A$1:$N$35</definedName>
    <definedName name="_xlnm.Print_Area" localSheetId="7">'Table 10'!$A$1:$G$38</definedName>
    <definedName name="_xlnm.Print_Area" localSheetId="2">'Table 2'!$A$1:$J$28</definedName>
    <definedName name="_xlnm.Print_Area" localSheetId="3">'Table 3'!$A$1:$L$41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6" i="3" l="1"/>
  <c r="I11" i="9"/>
  <c r="I12" i="9"/>
  <c r="I13" i="9"/>
  <c r="I14" i="9"/>
  <c r="I15" i="9"/>
  <c r="I16" i="9"/>
  <c r="G11" i="9"/>
  <c r="G12" i="9"/>
  <c r="G13" i="9"/>
  <c r="G14" i="9"/>
  <c r="G15" i="9"/>
  <c r="G16" i="9"/>
  <c r="G17" i="9"/>
  <c r="H7" i="9"/>
  <c r="J7" i="9"/>
  <c r="J26" i="9" l="1"/>
  <c r="D26" i="9"/>
  <c r="H26" i="2"/>
  <c r="D26" i="2"/>
  <c r="L32" i="1"/>
  <c r="G32" i="1"/>
  <c r="J32" i="1" l="1"/>
  <c r="L33" i="1" l="1"/>
  <c r="E33" i="1"/>
  <c r="J33" i="1"/>
  <c r="G33" i="1"/>
  <c r="E26" i="9"/>
  <c r="K26" i="9" s="1"/>
  <c r="G26" i="9" s="1"/>
  <c r="B26" i="9"/>
  <c r="E26" i="2"/>
  <c r="I26" i="2" s="1"/>
  <c r="G26" i="2" s="1"/>
  <c r="B26" i="2"/>
  <c r="B21" i="3" l="1"/>
  <c r="B20" i="3"/>
  <c r="D20" i="9" l="1"/>
  <c r="D17" i="9"/>
  <c r="D16" i="9"/>
  <c r="D15" i="9"/>
  <c r="D14" i="9"/>
  <c r="D13" i="9"/>
  <c r="D12" i="9"/>
  <c r="D11" i="9"/>
  <c r="J22" i="9"/>
  <c r="D22" i="9"/>
  <c r="H22" i="2"/>
  <c r="D22" i="2"/>
  <c r="L31" i="1"/>
  <c r="G31" i="1"/>
  <c r="J31" i="1" l="1"/>
  <c r="L7" i="9" l="1"/>
  <c r="H23" i="9"/>
  <c r="C23" i="9"/>
  <c r="C7" i="9" s="1"/>
  <c r="B22" i="9"/>
  <c r="E22" i="9" s="1"/>
  <c r="K22" i="9" s="1"/>
  <c r="G22" i="9" s="1"/>
  <c r="I22" i="9" s="1"/>
  <c r="J7" i="2"/>
  <c r="H6" i="1"/>
  <c r="M6" i="1" s="1"/>
  <c r="K6" i="1" s="1"/>
  <c r="N7" i="1"/>
  <c r="C23" i="2"/>
  <c r="C7" i="2" s="1"/>
  <c r="B22" i="2"/>
  <c r="E22" i="2" s="1"/>
  <c r="I22" i="2" s="1"/>
  <c r="G22" i="2" s="1"/>
  <c r="D6" i="1"/>
  <c r="J21" i="9"/>
  <c r="D21" i="9"/>
  <c r="H21" i="2"/>
  <c r="D21" i="2"/>
  <c r="L26" i="1"/>
  <c r="G26" i="1"/>
  <c r="J26" i="1" l="1"/>
  <c r="J25" i="1"/>
  <c r="B21" i="9" l="1"/>
  <c r="E21" i="9" s="1"/>
  <c r="K21" i="9" s="1"/>
  <c r="G21" i="9" s="1"/>
  <c r="I21" i="9" s="1"/>
  <c r="B21" i="2"/>
  <c r="E21" i="2" s="1"/>
  <c r="I21" i="2" s="1"/>
  <c r="G21" i="2" s="1"/>
  <c r="E27" i="1"/>
  <c r="I31" i="3"/>
  <c r="G31" i="3"/>
  <c r="E31" i="3"/>
  <c r="J6" i="3"/>
  <c r="I19" i="3"/>
  <c r="H44" i="3"/>
  <c r="D44" i="3"/>
  <c r="J20" i="9" l="1"/>
  <c r="B20" i="9"/>
  <c r="E20" i="9" s="1"/>
  <c r="K20" i="9" s="1"/>
  <c r="H20" i="2"/>
  <c r="D20" i="2"/>
  <c r="B20" i="2"/>
  <c r="E20" i="2" s="1"/>
  <c r="I20" i="2" s="1"/>
  <c r="L25" i="1"/>
  <c r="G25" i="1"/>
  <c r="G20" i="9" l="1"/>
  <c r="G20" i="2"/>
  <c r="I20" i="9" l="1"/>
  <c r="D46" i="3"/>
  <c r="B8" i="9"/>
  <c r="B7" i="9"/>
  <c r="D8" i="1"/>
  <c r="J19" i="9"/>
  <c r="D19" i="9"/>
  <c r="H19" i="2"/>
  <c r="D19" i="2"/>
  <c r="E19" i="2" s="1"/>
  <c r="I19" i="2" s="1"/>
  <c r="G19" i="2" s="1"/>
  <c r="L24" i="1"/>
  <c r="L27" i="1" s="1"/>
  <c r="G24" i="1"/>
  <c r="G27" i="1" s="1"/>
  <c r="H27" i="1" s="1"/>
  <c r="M27" i="1" s="1"/>
  <c r="B19" i="9"/>
  <c r="B19" i="2"/>
  <c r="J24" i="1"/>
  <c r="J27" i="1" s="1"/>
  <c r="E19" i="9" l="1"/>
  <c r="K19" i="9" s="1"/>
  <c r="K27" i="1"/>
  <c r="G19" i="9"/>
  <c r="L44" i="3"/>
  <c r="J18" i="9"/>
  <c r="J17" i="9"/>
  <c r="J16" i="9"/>
  <c r="J15" i="9"/>
  <c r="J14" i="9"/>
  <c r="J13" i="9"/>
  <c r="J12" i="9"/>
  <c r="J11" i="9"/>
  <c r="D18" i="9"/>
  <c r="D23" i="9" s="1"/>
  <c r="D7" i="9" s="1"/>
  <c r="J23" i="9" l="1"/>
  <c r="I19" i="9"/>
  <c r="H18" i="2"/>
  <c r="H17" i="2"/>
  <c r="H16" i="2"/>
  <c r="H15" i="2"/>
  <c r="H14" i="2"/>
  <c r="H13" i="2"/>
  <c r="H12" i="2"/>
  <c r="H11" i="2"/>
  <c r="D18" i="2"/>
  <c r="D17" i="2"/>
  <c r="D16" i="2"/>
  <c r="D15" i="2"/>
  <c r="D14" i="2"/>
  <c r="D13" i="2"/>
  <c r="D12" i="2"/>
  <c r="D11" i="2"/>
  <c r="H23" i="2" l="1"/>
  <c r="H7" i="2" s="1"/>
  <c r="D23" i="2"/>
  <c r="D7" i="2" s="1"/>
  <c r="L22" i="1"/>
  <c r="L21" i="1"/>
  <c r="L20" i="1"/>
  <c r="L18" i="1"/>
  <c r="L17" i="1"/>
  <c r="L16" i="1"/>
  <c r="L14" i="1"/>
  <c r="L13" i="1"/>
  <c r="L12" i="1"/>
  <c r="G22" i="1"/>
  <c r="G21" i="1"/>
  <c r="G20" i="1"/>
  <c r="G18" i="1"/>
  <c r="G17" i="1"/>
  <c r="G16" i="1"/>
  <c r="G14" i="1"/>
  <c r="G13" i="1"/>
  <c r="G12" i="1"/>
  <c r="J22" i="1"/>
  <c r="J21" i="1"/>
  <c r="J20" i="1"/>
  <c r="J18" i="1"/>
  <c r="J17" i="1"/>
  <c r="J16" i="1"/>
  <c r="J14" i="1"/>
  <c r="J13" i="1"/>
  <c r="J12" i="1"/>
  <c r="I6" i="1" l="1"/>
  <c r="I17" i="9" l="1"/>
  <c r="B18" i="9"/>
  <c r="B18" i="2"/>
  <c r="E18" i="2" s="1"/>
  <c r="E23" i="1"/>
  <c r="G23" i="1"/>
  <c r="H23" i="1" l="1"/>
  <c r="M23" i="1" s="1"/>
  <c r="E18" i="9"/>
  <c r="K18" i="9" s="1"/>
  <c r="G18" i="9" s="1"/>
  <c r="G23" i="9" s="1"/>
  <c r="G7" i="9" s="1"/>
  <c r="I18" i="2"/>
  <c r="G18" i="2" s="1"/>
  <c r="B29" i="9"/>
  <c r="I18" i="9" l="1"/>
  <c r="I23" i="9" s="1"/>
  <c r="I7" i="9" s="1"/>
  <c r="I21" i="3"/>
  <c r="I20" i="3"/>
  <c r="B8" i="2" l="1"/>
  <c r="L23" i="1" l="1"/>
  <c r="B17" i="9" l="1"/>
  <c r="E17" i="9" s="1"/>
  <c r="J23" i="1"/>
  <c r="K23" i="1" s="1"/>
  <c r="B17" i="2"/>
  <c r="E17" i="2" s="1"/>
  <c r="K17" i="9" l="1"/>
  <c r="I17" i="2"/>
  <c r="G17" i="2" l="1"/>
  <c r="A16" i="10" l="1"/>
  <c r="B16" i="9" l="1"/>
  <c r="E16" i="9" s="1"/>
  <c r="K16" i="9" s="1"/>
  <c r="B16" i="2"/>
  <c r="E16" i="2"/>
  <c r="E8" i="2"/>
  <c r="E8" i="9"/>
  <c r="K8" i="9" s="1"/>
  <c r="G8" i="9" s="1"/>
  <c r="I8" i="9" s="1"/>
  <c r="I8" i="2" l="1"/>
  <c r="G8" i="2" s="1"/>
  <c r="I16" i="2"/>
  <c r="G16" i="2" s="1"/>
  <c r="B8" i="3"/>
  <c r="E8" i="3" s="1"/>
  <c r="E21" i="3"/>
  <c r="B33" i="3"/>
  <c r="E46" i="3"/>
  <c r="H46" i="3" s="1"/>
  <c r="L46" i="3" s="1"/>
  <c r="D45" i="3"/>
  <c r="E33" i="3" l="1"/>
  <c r="I33" i="3" s="1"/>
  <c r="G33" i="3" s="1"/>
  <c r="B15" i="2"/>
  <c r="E19" i="1"/>
  <c r="E15" i="2" l="1"/>
  <c r="I15" i="2" l="1"/>
  <c r="G15" i="2" s="1"/>
  <c r="E20" i="3"/>
  <c r="B15" i="9"/>
  <c r="E15" i="9" s="1"/>
  <c r="K15" i="9" s="1"/>
  <c r="B39" i="5" l="1"/>
  <c r="L19" i="1" l="1"/>
  <c r="G19" i="1"/>
  <c r="H19" i="1" s="1"/>
  <c r="M19" i="1" s="1"/>
  <c r="B14" i="2" l="1"/>
  <c r="E14" i="2" s="1"/>
  <c r="B14" i="9"/>
  <c r="E14" i="9" s="1"/>
  <c r="K14" i="9" s="1"/>
  <c r="J19" i="1"/>
  <c r="F28" i="1"/>
  <c r="F7" i="1" s="1"/>
  <c r="I14" i="2" l="1"/>
  <c r="K19" i="1"/>
  <c r="G14" i="2" l="1"/>
  <c r="B13" i="9" l="1"/>
  <c r="E13" i="9" s="1"/>
  <c r="K13" i="9" s="1"/>
  <c r="B13" i="2" l="1"/>
  <c r="E13" i="2" s="1"/>
  <c r="I13" i="2" l="1"/>
  <c r="G13" i="2" s="1"/>
  <c r="L15" i="1"/>
  <c r="L28" i="1" s="1"/>
  <c r="L7" i="1" s="1"/>
  <c r="B12" i="9" l="1"/>
  <c r="E12" i="9" s="1"/>
  <c r="K12" i="9" s="1"/>
  <c r="B12" i="2"/>
  <c r="E12" i="2" s="1"/>
  <c r="I12" i="2" l="1"/>
  <c r="G12" i="2" s="1"/>
  <c r="J15" i="1"/>
  <c r="J28" i="1" s="1"/>
  <c r="J7" i="1" s="1"/>
  <c r="E23" i="2"/>
  <c r="E7" i="2" s="1"/>
  <c r="G15" i="1" l="1"/>
  <c r="G28" i="1" s="1"/>
  <c r="G7" i="1" s="1"/>
  <c r="E23" i="9" l="1"/>
  <c r="E7" i="9" s="1"/>
  <c r="K7" i="9" s="1"/>
  <c r="E45" i="3" l="1"/>
  <c r="H45" i="3" s="1"/>
  <c r="B32" i="3"/>
  <c r="E32" i="3" s="1"/>
  <c r="B7" i="3"/>
  <c r="E7" i="3" s="1"/>
  <c r="J7" i="3" s="1"/>
  <c r="N45" i="3" l="1"/>
  <c r="L45" i="3" s="1"/>
  <c r="I32" i="3"/>
  <c r="G32" i="3" s="1"/>
  <c r="D7" i="1" l="1"/>
  <c r="B50" i="3" l="1"/>
  <c r="E11" i="9" l="1"/>
  <c r="E11" i="2"/>
  <c r="B36" i="1"/>
  <c r="K11" i="9" l="1"/>
  <c r="K23" i="9" s="1"/>
  <c r="I11" i="2"/>
  <c r="I23" i="2" s="1"/>
  <c r="I7" i="2" s="1"/>
  <c r="G11" i="2"/>
  <c r="G23" i="2" s="1"/>
  <c r="G7" i="2" s="1"/>
  <c r="B40" i="6" l="1"/>
  <c r="B38" i="4"/>
  <c r="B29" i="2"/>
  <c r="B7" i="2" l="1"/>
  <c r="J8" i="3" l="1"/>
  <c r="I7" i="3"/>
  <c r="E7" i="1" l="1"/>
  <c r="H7" i="1" s="1"/>
  <c r="M7" i="1" s="1"/>
  <c r="K7" i="1" s="1"/>
  <c r="E15" i="1"/>
  <c r="H15" i="1" s="1"/>
  <c r="M15" i="1" s="1"/>
  <c r="H28" i="1" l="1"/>
  <c r="M28" i="1"/>
  <c r="K15" i="1"/>
  <c r="K28" i="1" s="1"/>
  <c r="E8" i="1" s="1"/>
  <c r="H8" i="1" s="1"/>
  <c r="M8" i="1" s="1"/>
  <c r="K8" i="1" s="1"/>
</calcChain>
</file>

<file path=xl/sharedStrings.xml><?xml version="1.0" encoding="utf-8"?>
<sst xmlns="http://schemas.openxmlformats.org/spreadsheetml/2006/main" count="506" uniqueCount="169">
  <si>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</si>
  <si>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</si>
  <si>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</si>
  <si>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</si>
  <si>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</si>
  <si>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</si>
  <si>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</si>
  <si>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</si>
  <si>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</si>
  <si>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</si>
  <si>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</si>
  <si>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</si>
  <si>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</si>
  <si>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</si>
  <si>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</si>
  <si>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</si>
  <si>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</si>
  <si>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</si>
  <si>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</si>
  <si>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</si>
  <si>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</si>
  <si>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</si>
  <si>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</si>
  <si>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</si>
  <si>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</si>
  <si>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</si>
  <si>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</si>
  <si>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</si>
  <si>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</si>
  <si>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</si>
  <si>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</si>
  <si>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</si>
  <si>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</si>
  <si>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2019/20</t>
  </si>
  <si>
    <r>
      <t>2020/21</t>
    </r>
    <r>
      <rPr>
        <vertAlign val="superscript"/>
        <sz val="11"/>
        <rFont val="Arial"/>
        <family val="2"/>
      </rPr>
      <t>1</t>
    </r>
  </si>
  <si>
    <r>
      <t>2021/22</t>
    </r>
    <r>
      <rPr>
        <vertAlign val="superscript"/>
        <sz val="11"/>
        <rFont val="Arial"/>
        <family val="2"/>
      </rPr>
      <t>2</t>
    </r>
  </si>
  <si>
    <t>Soybeans: Quarterly U.S. supply and disappearance</t>
  </si>
  <si>
    <t>2020/21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</si>
  <si>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</si>
  <si>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</si>
  <si>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</si>
  <si>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</si>
  <si>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</si>
  <si>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</si>
  <si>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</si>
  <si>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</si>
  <si>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</si>
  <si>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</si>
  <si>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</si>
  <si>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</si>
  <si>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</si>
  <si>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</si>
  <si>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</si>
  <si>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</si>
  <si>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</si>
  <si>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t>Total to Date</t>
  </si>
  <si>
    <r>
      <rPr>
        <sz val="11"/>
        <rFont val="Arial"/>
        <family val="2"/>
      </rPr>
      <t>NA: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</si>
  <si>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</si>
  <si>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</si>
  <si>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</si>
  <si>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</si>
  <si>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</si>
  <si>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</si>
  <si>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</si>
  <si>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</si>
  <si>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</si>
  <si>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</si>
  <si>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</si>
  <si>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</si>
  <si>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NA: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</si>
  <si>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</si>
  <si>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</si>
  <si>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</si>
  <si>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</si>
  <si>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</si>
  <si>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</si>
  <si>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</si>
  <si>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</si>
  <si>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NA: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</si>
  <si>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</si>
  <si>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</si>
  <si>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</si>
  <si>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</si>
  <si>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</si>
  <si>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</si>
  <si>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</si>
  <si>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</si>
  <si>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</si>
  <si>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</si>
  <si>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</si>
  <si>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</si>
  <si>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</si>
  <si>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t>Million Pounds</t>
  </si>
  <si>
    <t xml:space="preserve">food </t>
  </si>
  <si>
    <t>residual</t>
  </si>
  <si>
    <t>1,000 acres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</si>
  <si>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</si>
  <si>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</si>
  <si>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</si>
  <si>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</si>
  <si>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</si>
  <si>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</si>
  <si>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</si>
  <si>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</si>
  <si>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</si>
  <si>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</si>
  <si>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</si>
  <si>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</si>
  <si>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</si>
  <si>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</si>
  <si>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</si>
  <si>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</si>
  <si>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</si>
  <si>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</si>
  <si>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</si>
  <si>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</si>
  <si>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</si>
  <si>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</si>
  <si>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</si>
  <si>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</si>
  <si>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</si>
  <si>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</si>
  <si>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</si>
  <si>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</si>
  <si>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</si>
  <si>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</si>
  <si>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Sunflowerseed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</si>
  <si>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</si>
  <si>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</si>
  <si>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</si>
  <si>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5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</si>
  <si>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</si>
  <si>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</si>
  <si>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</si>
  <si>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</si>
  <si>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</si>
  <si>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tallow </t>
    </r>
    <r>
      <rPr>
        <vertAlign val="superscript"/>
        <sz val="11"/>
        <rFont val="Arial"/>
        <family val="2"/>
      </rPr>
      <t xml:space="preserve">5 </t>
    </r>
  </si>
  <si>
    <t>------------------------------------------------------- Cents per pound----------------------------------------------</t>
  </si>
  <si>
    <r>
      <t>2020/21</t>
    </r>
    <r>
      <rPr>
        <vertAlign val="superscript"/>
        <sz val="11"/>
        <rFont val="Arial"/>
        <family val="2"/>
      </rPr>
      <t>6</t>
    </r>
  </si>
  <si>
    <r>
      <t>2021/22</t>
    </r>
    <r>
      <rPr>
        <vertAlign val="superscript"/>
        <sz val="11"/>
        <rFont val="Arial"/>
        <family val="2"/>
      </rPr>
      <t>6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</si>
  <si>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</si>
  <si>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Preliminary. 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</si>
  <si>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</si>
  <si>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</si>
  <si>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</si>
  <si>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</si>
  <si>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</si>
  <si>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</si>
  <si>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</si>
  <si>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</si>
  <si>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</si>
  <si>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</si>
  <si>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t>2020/21</t>
    </r>
    <r>
      <rPr>
        <vertAlign val="superscript"/>
        <sz val="11"/>
        <rFont val="Arial"/>
        <family val="2"/>
      </rPr>
      <t>7</t>
    </r>
  </si>
  <si>
    <r>
      <t>2021/22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</si>
  <si>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</si>
  <si>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7 Preliminary. </t>
    </r>
  </si>
  <si>
    <r>
      <t xml:space="preserve">Sources: USDA, Agricultural Marketing Service, </t>
    </r>
    <r>
      <rPr>
        <i/>
        <sz val="11"/>
        <rFont val="Arial"/>
        <family val="2"/>
      </rPr>
      <t>Monthly Feedstuff Prices.</t>
    </r>
  </si>
  <si>
    <t>Marketing year</t>
  </si>
  <si>
    <t>Biofuel</t>
  </si>
  <si>
    <t>Month</t>
  </si>
  <si>
    <t>Biodiesel</t>
  </si>
  <si>
    <t>Rest of the world</t>
  </si>
  <si>
    <t>Export</t>
  </si>
  <si>
    <t>Contact: Aaron M. Ates; Maria Bukowski</t>
  </si>
  <si>
    <t>Food and other</t>
  </si>
  <si>
    <t>Renewable diesel fuel</t>
  </si>
  <si>
    <t>Other biofuels</t>
  </si>
  <si>
    <t>Russia and Ukraine</t>
  </si>
  <si>
    <t>Food and other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</si>
</sst>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_);\(#,##0.0\)"/>
    <numFmt numFmtId="173" formatCode="_(* #,##0.00_);_(* \(#,##0.00\);_(* &quot;-&quot;_);_(@_)"/>
    <numFmt numFmtId="174" formatCode="_(* #,##0.000_);_(* \(#,##0.000\);_(* &quot;-&quot;_);_(@_)"/>
    <numFmt numFmtId="175" formatCode="_(* #,##0.0_);_(* \(#,##0.0\);_(* &quot;-&quot;_);_(@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24" fillId="0" borderId="0"/>
    <xf numFmtId="0" fontId="9" fillId="0" borderId="0"/>
    <xf numFmtId="0" fontId="8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44" fontId="10" fillId="0" borderId="0" applyFont="0" applyFill="0" applyBorder="0" applyAlignment="0" applyProtection="0"/>
  </cellStyleXfs>
  <cellXfs count="169">
    <xf numFmtId="0" fontId="0" fillId="0" borderId="0" xfId="0"/>
    <xf numFmtId="0" fontId="11" fillId="0" borderId="0" xfId="8" applyFont="1"/>
    <xf numFmtId="0" fontId="12" fillId="0" borderId="0" xfId="8" applyFont="1"/>
    <xf numFmtId="0" fontId="17" fillId="0" borderId="0" xfId="8" applyFont="1" applyFill="1"/>
    <xf numFmtId="0" fontId="18" fillId="0" borderId="0" xfId="8" applyFont="1"/>
    <xf numFmtId="169" fontId="19" fillId="0" borderId="0" xfId="1" applyNumberFormat="1" applyFont="1" applyFill="1" applyAlignment="1">
      <alignment horizontal="right" indent="1"/>
    </xf>
    <xf numFmtId="169" fontId="19" fillId="0" borderId="0" xfId="1" applyNumberFormat="1" applyFont="1" applyFill="1" applyBorder="1" applyAlignment="1">
      <alignment horizontal="center"/>
    </xf>
    <xf numFmtId="169" fontId="19" fillId="0" borderId="0" xfId="1" applyNumberFormat="1" applyFont="1" applyFill="1" applyBorder="1" applyAlignment="1">
      <alignment horizontal="right" indent="1"/>
    </xf>
    <xf numFmtId="0" fontId="25" fillId="0" borderId="0" xfId="7" applyFont="1" applyAlignment="1">
      <alignment horizontal="left"/>
    </xf>
    <xf numFmtId="0" fontId="27" fillId="0" borderId="0" xfId="5" applyFont="1" applyAlignment="1" applyProtection="1"/>
    <xf numFmtId="14" fontId="25" fillId="0" borderId="0" xfId="7" applyNumberFormat="1" applyFont="1" applyAlignment="1">
      <alignment horizontal="left"/>
    </xf>
    <xf numFmtId="0" fontId="27" fillId="0" borderId="0" xfId="4" applyFont="1" applyAlignment="1" applyProtection="1"/>
    <xf numFmtId="0" fontId="19" fillId="0" borderId="0" xfId="7" quotePrefix="1" applyFont="1" applyAlignment="1">
      <alignment horizontal="left"/>
    </xf>
    <xf numFmtId="0" fontId="19" fillId="0" borderId="0" xfId="8" applyFont="1" applyBorder="1" applyAlignment="1">
      <alignment wrapText="1"/>
    </xf>
    <xf numFmtId="169" fontId="19" fillId="0" borderId="0" xfId="1" applyNumberFormat="1" applyFont="1" applyFill="1" applyBorder="1" applyAlignment="1">
      <alignment horizontal="right"/>
    </xf>
    <xf numFmtId="169" fontId="19" fillId="0" borderId="0" xfId="0" applyNumberFormat="1" applyFont="1" applyFill="1"/>
    <xf numFmtId="2" fontId="19" fillId="0" borderId="1" xfId="0" applyNumberFormat="1" applyFont="1" applyFill="1" applyBorder="1" applyAlignment="1">
      <alignment horizontal="right" indent="2"/>
    </xf>
    <xf numFmtId="0" fontId="19" fillId="0" borderId="1" xfId="0" applyFont="1" applyFill="1" applyBorder="1"/>
    <xf numFmtId="0" fontId="0" fillId="0" borderId="0" xfId="0" applyFill="1"/>
    <xf numFmtId="0" fontId="19" fillId="0" borderId="0" xfId="0" applyFont="1" applyFill="1"/>
    <xf numFmtId="0" fontId="19" fillId="0" borderId="2" xfId="0" applyFont="1" applyFill="1" applyBorder="1" applyAlignment="1">
      <alignment horizontal="right"/>
    </xf>
    <xf numFmtId="0" fontId="19" fillId="0" borderId="0" xfId="0" applyFont="1" applyFill="1" applyAlignment="1">
      <alignment horizontal="center"/>
    </xf>
    <xf numFmtId="0" fontId="0" fillId="0" borderId="2" xfId="0" applyFill="1" applyBorder="1"/>
    <xf numFmtId="0" fontId="19" fillId="0" borderId="0" xfId="0" applyFont="1" applyFill="1" applyBorder="1"/>
    <xf numFmtId="0" fontId="19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right"/>
    </xf>
    <xf numFmtId="16" fontId="19" fillId="0" borderId="1" xfId="0" quotePrefix="1" applyNumberFormat="1" applyFont="1" applyFill="1" applyBorder="1"/>
    <xf numFmtId="16" fontId="19" fillId="0" borderId="1" xfId="0" applyNumberFormat="1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20" fillId="0" borderId="3" xfId="0" quotePrefix="1" applyFont="1" applyFill="1" applyBorder="1" applyAlignment="1">
      <alignment horizontal="center"/>
    </xf>
    <xf numFmtId="0" fontId="20" fillId="0" borderId="0" xfId="0" quotePrefix="1" applyFont="1" applyFill="1" applyAlignment="1">
      <alignment horizontal="right"/>
    </xf>
    <xf numFmtId="167" fontId="19" fillId="0" borderId="0" xfId="0" applyNumberFormat="1" applyFont="1" applyFill="1" applyAlignment="1">
      <alignment horizontal="center"/>
    </xf>
    <xf numFmtId="165" fontId="19" fillId="0" borderId="0" xfId="1" applyNumberFormat="1" applyFont="1" applyFill="1" applyAlignment="1">
      <alignment horizontal="left"/>
    </xf>
    <xf numFmtId="165" fontId="19" fillId="0" borderId="0" xfId="1" applyNumberFormat="1" applyFont="1" applyFill="1" applyAlignment="1">
      <alignment horizontal="center"/>
    </xf>
    <xf numFmtId="3" fontId="19" fillId="0" borderId="0" xfId="1" applyNumberFormat="1" applyFont="1" applyFill="1" applyBorder="1" applyAlignment="1">
      <alignment horizontal="right" indent="1"/>
    </xf>
    <xf numFmtId="164" fontId="19" fillId="0" borderId="0" xfId="1" applyNumberFormat="1" applyFont="1" applyFill="1" applyBorder="1"/>
    <xf numFmtId="164" fontId="19" fillId="0" borderId="0" xfId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5" fillId="0" borderId="0" xfId="0" applyFont="1" applyFill="1"/>
    <xf numFmtId="169" fontId="19" fillId="0" borderId="0" xfId="1" quotePrefix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>
      <alignment horizontal="center"/>
    </xf>
    <xf numFmtId="164" fontId="19" fillId="0" borderId="0" xfId="1" quotePrefix="1" applyNumberFormat="1" applyFont="1" applyFill="1" applyBorder="1" applyAlignment="1">
      <alignment horizontal="center"/>
    </xf>
    <xf numFmtId="169" fontId="19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9" fillId="0" borderId="0" xfId="0" applyNumberFormat="1" applyFont="1" applyFill="1"/>
    <xf numFmtId="169" fontId="19" fillId="0" borderId="1" xfId="1" applyNumberFormat="1" applyFont="1" applyFill="1" applyBorder="1" applyAlignment="1">
      <alignment horizontal="right" indent="1"/>
    </xf>
    <xf numFmtId="164" fontId="19" fillId="0" borderId="0" xfId="1" applyNumberFormat="1" applyFont="1" applyFill="1"/>
    <xf numFmtId="14" fontId="19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9" fillId="0" borderId="0" xfId="1" applyNumberFormat="1" applyFont="1" applyFill="1" applyAlignment="1">
      <alignment horizontal="right" indent="2"/>
    </xf>
    <xf numFmtId="3" fontId="19" fillId="0" borderId="0" xfId="1" applyNumberFormat="1" applyFont="1" applyFill="1" applyAlignment="1">
      <alignment horizontal="right" indent="1"/>
    </xf>
    <xf numFmtId="3" fontId="19" fillId="0" borderId="0" xfId="1" applyNumberFormat="1" applyFont="1" applyFill="1" applyAlignment="1">
      <alignment horizontal="center"/>
    </xf>
    <xf numFmtId="0" fontId="25" fillId="0" borderId="0" xfId="0" applyFont="1" applyFill="1" applyBorder="1"/>
    <xf numFmtId="169" fontId="19" fillId="0" borderId="0" xfId="1" applyNumberFormat="1" applyFont="1" applyFill="1" applyBorder="1" applyAlignment="1">
      <alignment horizontal="right" indent="2"/>
    </xf>
    <xf numFmtId="169" fontId="19" fillId="0" borderId="1" xfId="1" applyNumberFormat="1" applyFont="1" applyFill="1" applyBorder="1" applyAlignment="1">
      <alignment horizontal="right" indent="2"/>
    </xf>
    <xf numFmtId="0" fontId="21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9" fillId="0" borderId="0" xfId="0" applyNumberFormat="1" applyFont="1" applyFill="1" applyBorder="1"/>
    <xf numFmtId="169" fontId="19" fillId="0" borderId="1" xfId="1" applyNumberFormat="1" applyFont="1" applyFill="1" applyBorder="1" applyAlignment="1">
      <alignment horizontal="center"/>
    </xf>
    <xf numFmtId="165" fontId="19" fillId="0" borderId="1" xfId="1" applyNumberFormat="1" applyFont="1" applyFill="1" applyBorder="1" applyAlignment="1">
      <alignment horizontal="right"/>
    </xf>
    <xf numFmtId="16" fontId="19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 indent="2"/>
    </xf>
    <xf numFmtId="170" fontId="19" fillId="0" borderId="0" xfId="0" applyNumberFormat="1" applyFont="1" applyFill="1" applyBorder="1"/>
    <xf numFmtId="43" fontId="19" fillId="0" borderId="0" xfId="1" quotePrefix="1" applyNumberFormat="1" applyFont="1" applyFill="1" applyBorder="1" applyAlignment="1">
      <alignment horizontal="center"/>
    </xf>
    <xf numFmtId="166" fontId="19" fillId="0" borderId="0" xfId="1" quotePrefix="1" applyNumberFormat="1" applyFont="1" applyFill="1" applyBorder="1" applyAlignment="1">
      <alignment horizontal="center"/>
    </xf>
    <xf numFmtId="43" fontId="19" fillId="0" borderId="0" xfId="1" quotePrefix="1" applyFont="1" applyFill="1" applyBorder="1" applyAlignment="1">
      <alignment horizontal="center"/>
    </xf>
    <xf numFmtId="43" fontId="19" fillId="0" borderId="0" xfId="1" applyNumberFormat="1" applyFont="1" applyFill="1" applyBorder="1" applyAlignment="1">
      <alignment horizontal="center"/>
    </xf>
    <xf numFmtId="0" fontId="25" fillId="0" borderId="0" xfId="0" quotePrefix="1" applyFont="1" applyFill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indent="1"/>
    </xf>
    <xf numFmtId="0" fontId="19" fillId="0" borderId="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/>
    </xf>
    <xf numFmtId="0" fontId="20" fillId="0" borderId="3" xfId="0" quotePrefix="1" applyFont="1" applyFill="1" applyBorder="1" applyAlignment="1"/>
    <xf numFmtId="0" fontId="20" fillId="0" borderId="3" xfId="0" applyFont="1" applyFill="1" applyBorder="1" applyAlignment="1"/>
    <xf numFmtId="43" fontId="19" fillId="0" borderId="0" xfId="1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43" fontId="19" fillId="0" borderId="0" xfId="0" applyNumberFormat="1" applyFont="1" applyFill="1"/>
    <xf numFmtId="0" fontId="14" fillId="0" borderId="0" xfId="0" applyFont="1" applyFill="1"/>
    <xf numFmtId="2" fontId="0" fillId="0" borderId="0" xfId="0" applyNumberFormat="1" applyFill="1"/>
    <xf numFmtId="165" fontId="19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9" fillId="0" borderId="0" xfId="1" applyFont="1" applyFill="1" applyBorder="1" applyAlignment="1">
      <alignment horizontal="center"/>
    </xf>
    <xf numFmtId="43" fontId="0" fillId="0" borderId="0" xfId="1" applyFont="1" applyFill="1"/>
    <xf numFmtId="43" fontId="10" fillId="0" borderId="0" xfId="1" applyFont="1" applyFill="1"/>
    <xf numFmtId="0" fontId="23" fillId="0" borderId="0" xfId="0" applyFont="1" applyFill="1" applyAlignment="1">
      <alignment vertical="center"/>
    </xf>
    <xf numFmtId="168" fontId="0" fillId="0" borderId="0" xfId="0" applyNumberFormat="1" applyFill="1"/>
    <xf numFmtId="0" fontId="26" fillId="0" borderId="0" xfId="0" applyFont="1" applyFill="1"/>
    <xf numFmtId="168" fontId="19" fillId="0" borderId="0" xfId="0" applyNumberFormat="1" applyFont="1" applyFill="1"/>
    <xf numFmtId="2" fontId="19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9" fillId="0" borderId="3" xfId="0" applyFont="1" applyFill="1" applyBorder="1"/>
    <xf numFmtId="0" fontId="19" fillId="0" borderId="0" xfId="0" applyFont="1" applyFill="1" applyBorder="1" applyAlignment="1">
      <alignment horizontal="right"/>
    </xf>
    <xf numFmtId="37" fontId="19" fillId="0" borderId="0" xfId="1" applyNumberFormat="1" applyFont="1" applyFill="1" applyAlignment="1">
      <alignment horizontal="center"/>
    </xf>
    <xf numFmtId="37" fontId="19" fillId="0" borderId="0" xfId="1" applyNumberFormat="1" applyFont="1" applyFill="1" applyAlignment="1">
      <alignment horizontal="right" indent="2"/>
    </xf>
    <xf numFmtId="165" fontId="19" fillId="0" borderId="0" xfId="1" applyNumberFormat="1" applyFont="1" applyFill="1"/>
    <xf numFmtId="37" fontId="19" fillId="0" borderId="0" xfId="1" applyNumberFormat="1" applyFont="1" applyFill="1" applyAlignment="1">
      <alignment horizontal="right" indent="1"/>
    </xf>
    <xf numFmtId="37" fontId="19" fillId="0" borderId="0" xfId="1" applyNumberFormat="1" applyFont="1" applyFill="1" applyBorder="1" applyAlignment="1">
      <alignment horizontal="center"/>
    </xf>
    <xf numFmtId="37" fontId="19" fillId="0" borderId="0" xfId="1" applyNumberFormat="1" applyFont="1" applyFill="1" applyBorder="1" applyAlignment="1">
      <alignment horizontal="right" indent="2"/>
    </xf>
    <xf numFmtId="165" fontId="19" fillId="0" borderId="0" xfId="1" applyNumberFormat="1" applyFont="1" applyFill="1" applyBorder="1"/>
    <xf numFmtId="37" fontId="19" fillId="0" borderId="0" xfId="1" applyNumberFormat="1" applyFont="1" applyFill="1" applyBorder="1" applyAlignment="1">
      <alignment horizontal="right" indent="1"/>
    </xf>
    <xf numFmtId="37" fontId="19" fillId="0" borderId="1" xfId="1" applyNumberFormat="1" applyFont="1" applyFill="1" applyBorder="1" applyAlignment="1">
      <alignment horizontal="center"/>
    </xf>
    <xf numFmtId="37" fontId="19" fillId="0" borderId="1" xfId="1" applyNumberFormat="1" applyFont="1" applyFill="1" applyBorder="1" applyAlignment="1">
      <alignment horizontal="right" indent="2"/>
    </xf>
    <xf numFmtId="165" fontId="19" fillId="0" borderId="1" xfId="1" applyNumberFormat="1" applyFont="1" applyFill="1" applyBorder="1"/>
    <xf numFmtId="37" fontId="19" fillId="0" borderId="1" xfId="1" applyNumberFormat="1" applyFont="1" applyFill="1" applyBorder="1" applyAlignment="1">
      <alignment horizontal="right" indent="1"/>
    </xf>
    <xf numFmtId="9" fontId="19" fillId="0" borderId="0" xfId="12" applyFont="1" applyFill="1"/>
    <xf numFmtId="1" fontId="19" fillId="0" borderId="0" xfId="0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4" xfId="0" applyFont="1" applyFill="1" applyBorder="1" applyAlignment="1">
      <alignment horizontal="center"/>
    </xf>
    <xf numFmtId="14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3" fontId="0" fillId="0" borderId="0" xfId="0" applyNumberFormat="1" applyFill="1"/>
    <xf numFmtId="169" fontId="19" fillId="0" borderId="0" xfId="1" applyNumberFormat="1" applyFont="1" applyFill="1" applyAlignment="1">
      <alignment horizontal="center"/>
    </xf>
    <xf numFmtId="4" fontId="0" fillId="0" borderId="0" xfId="0" applyNumberFormat="1" applyFill="1"/>
    <xf numFmtId="2" fontId="14" fillId="0" borderId="0" xfId="0" applyNumberFormat="1" applyFont="1" applyFill="1"/>
    <xf numFmtId="0" fontId="29" fillId="0" borderId="1" xfId="29" applyFont="1" applyFill="1" applyBorder="1" applyAlignment="1">
      <alignment horizontal="center" wrapText="1"/>
    </xf>
    <xf numFmtId="0" fontId="28" fillId="0" borderId="0" xfId="29" applyFont="1" applyFill="1"/>
    <xf numFmtId="0" fontId="28" fillId="0" borderId="0" xfId="29" applyFont="1" applyFill="1" applyAlignment="1">
      <alignment horizontal="center"/>
    </xf>
    <xf numFmtId="41" fontId="28" fillId="0" borderId="0" xfId="32" applyNumberFormat="1" applyFont="1" applyFill="1" applyAlignment="1">
      <alignment horizontal="center"/>
    </xf>
    <xf numFmtId="41" fontId="28" fillId="0" borderId="0" xfId="32" applyNumberFormat="1" applyFont="1" applyFill="1"/>
    <xf numFmtId="165" fontId="31" fillId="0" borderId="0" xfId="1" applyNumberFormat="1" applyFont="1" applyFill="1"/>
    <xf numFmtId="0" fontId="21" fillId="0" borderId="3" xfId="0" applyFont="1" applyFill="1" applyBorder="1"/>
    <xf numFmtId="164" fontId="19" fillId="0" borderId="3" xfId="0" applyNumberFormat="1" applyFont="1" applyFill="1" applyBorder="1"/>
    <xf numFmtId="43" fontId="19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10" fillId="0" borderId="0" xfId="0" applyFont="1" applyAlignment="1"/>
    <xf numFmtId="0" fontId="29" fillId="0" borderId="1" xfId="29" applyFont="1" applyFill="1" applyBorder="1" applyAlignment="1">
      <alignment horizontal="center"/>
    </xf>
    <xf numFmtId="0" fontId="29" fillId="0" borderId="0" xfId="29" applyFont="1" applyFill="1" applyBorder="1" applyAlignment="1">
      <alignment horizontal="center" wrapText="1"/>
    </xf>
    <xf numFmtId="0" fontId="29" fillId="0" borderId="1" xfId="29" applyFont="1" applyBorder="1" applyAlignment="1">
      <alignment horizontal="center" wrapText="1"/>
    </xf>
    <xf numFmtId="0" fontId="32" fillId="0" borderId="0" xfId="0" quotePrefix="1" applyFont="1" applyAlignment="1">
      <alignment horizontal="center"/>
    </xf>
    <xf numFmtId="172" fontId="32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1" fontId="1" fillId="0" borderId="0" xfId="34" applyNumberFormat="1" applyFont="1" applyFill="1" applyAlignment="1">
      <alignment horizontal="center"/>
    </xf>
    <xf numFmtId="165" fontId="32" fillId="0" borderId="0" xfId="1" applyNumberFormat="1" applyFont="1" applyAlignment="1">
      <alignment horizontal="right"/>
    </xf>
    <xf numFmtId="0" fontId="29" fillId="0" borderId="1" xfId="29" applyFont="1" applyBorder="1" applyAlignment="1">
      <alignment horizontal="center"/>
    </xf>
    <xf numFmtId="1" fontId="10" fillId="0" borderId="0" xfId="0" applyNumberFormat="1" applyFont="1" applyAlignment="1"/>
    <xf numFmtId="1" fontId="0" fillId="0" borderId="0" xfId="0" applyNumberFormat="1"/>
    <xf numFmtId="41" fontId="28" fillId="0" borderId="0" xfId="29" applyNumberFormat="1" applyFont="1" applyFill="1"/>
    <xf numFmtId="41" fontId="28" fillId="0" borderId="0" xfId="29" applyNumberFormat="1" applyFont="1"/>
    <xf numFmtId="173" fontId="28" fillId="0" borderId="0" xfId="32" applyNumberFormat="1" applyFont="1" applyFill="1" applyAlignment="1">
      <alignment horizontal="center"/>
    </xf>
    <xf numFmtId="174" fontId="28" fillId="0" borderId="0" xfId="32" applyNumberFormat="1" applyFont="1" applyFill="1" applyAlignment="1">
      <alignment horizontal="center"/>
    </xf>
    <xf numFmtId="175" fontId="28" fillId="0" borderId="0" xfId="29" applyNumberFormat="1" applyFont="1" applyFill="1"/>
    <xf numFmtId="175" fontId="28" fillId="0" borderId="0" xfId="29" applyNumberFormat="1" applyFont="1"/>
    <xf numFmtId="0" fontId="17" fillId="0" borderId="1" xfId="0" quotePrefix="1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0" fillId="0" borderId="0" xfId="8" applyFont="1"/>
    <xf numFmtId="0" fontId="10" fillId="0" borderId="0" xfId="8" applyFont="1" applyFill="1"/>
    <xf numFmtId="0" fontId="10" fillId="0" borderId="0" xfId="0" applyFont="1" applyFill="1" applyBorder="1"/>
    <xf numFmtId="0" fontId="10" fillId="0" borderId="0" xfId="0" applyFont="1" applyFill="1"/>
    <xf numFmtId="0" fontId="19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2" xfId="0" quotePrefix="1" applyFont="1" applyFill="1" applyBorder="1" applyAlignment="1">
      <alignment horizontal="center"/>
    </xf>
    <xf numFmtId="0" fontId="20" fillId="0" borderId="5" xfId="0" quotePrefix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</cellXfs>
  <cellStyles count="3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" xfId="32" builtinId="4"/>
    <cellStyle name="Currency 2" xfId="34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3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66FF"/>
      <color rgb="FF0000FF"/>
      <color rgb="FFFFFF00"/>
      <color rgb="FFFFC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Historical and Projected Soybean Oil Supply and Demand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549430226102837E-2"/>
          <c:y val="0.17677191837757089"/>
          <c:w val="0.88062975165261048"/>
          <c:h val="0.639646045586629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1'!$B$1</c:f>
              <c:strCache>
                <c:ptCount val="1"/>
                <c:pt idx="0">
                  <c:v>Biofuel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1'!$A$2:$A$6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'Figure 1'!$B$2:$B$6</c:f>
              <c:numCache>
                <c:formatCode>_(* #,##0_);_(* \(#,##0\);_(* "-"_);_(@_)</c:formatCode>
                <c:ptCount val="5"/>
                <c:pt idx="0">
                  <c:v>7333.71</c:v>
                </c:pt>
                <c:pt idx="1">
                  <c:v>8663.2999999999993</c:v>
                </c:pt>
                <c:pt idx="2">
                  <c:v>8657.82</c:v>
                </c:pt>
                <c:pt idx="3">
                  <c:v>8850</c:v>
                </c:pt>
                <c:pt idx="4">
                  <c:v>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5B-4933-B3CA-2C08627B6251}"/>
            </c:ext>
          </c:extLst>
        </c:ser>
        <c:ser>
          <c:idx val="1"/>
          <c:order val="2"/>
          <c:tx>
            <c:strRef>
              <c:f>'Figure 1'!$C$1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1'!$A$2:$A$6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'Figure 1'!$C$2:$C$6</c:f>
              <c:numCache>
                <c:formatCode>_(* #,##0_);_(* \(#,##0\);_(* "-"_);_(@_)</c:formatCode>
                <c:ptCount val="5"/>
                <c:pt idx="0">
                  <c:v>14046.500607507569</c:v>
                </c:pt>
                <c:pt idx="1">
                  <c:v>14210.857005018133</c:v>
                </c:pt>
                <c:pt idx="2">
                  <c:v>13659.14198267788</c:v>
                </c:pt>
                <c:pt idx="3">
                  <c:v>14426.981507567336</c:v>
                </c:pt>
                <c:pt idx="4">
                  <c:v>14150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5B-4933-B3CA-2C08627B6251}"/>
            </c:ext>
          </c:extLst>
        </c:ser>
        <c:ser>
          <c:idx val="3"/>
          <c:order val="3"/>
          <c:tx>
            <c:strRef>
              <c:f>'Figure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1'!$A$2:$A$6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'Figure 1'!$D$2:$D$6</c:f>
              <c:numCache>
                <c:formatCode>_(* #,##0_);_(* \(#,##0\);_(* "-"_);_(@_)</c:formatCode>
                <c:ptCount val="5"/>
                <c:pt idx="0">
                  <c:v>2443.0375649191838</c:v>
                </c:pt>
                <c:pt idx="1">
                  <c:v>1940.4219679927719</c:v>
                </c:pt>
                <c:pt idx="2">
                  <c:v>2836.6907911634057</c:v>
                </c:pt>
                <c:pt idx="3">
                  <c:v>1723.4987866846579</c:v>
                </c:pt>
                <c:pt idx="4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5B-4933-B3CA-2C08627B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0"/>
          <c:order val="1"/>
          <c:tx>
            <c:strRef>
              <c:f>'Figure 1'!$E$1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1'!$A$2:$A$6</c:f>
              <c:strCache>
                <c:ptCount val="5"/>
                <c:pt idx="0">
                  <c:v>2017/18</c:v>
                </c:pt>
                <c:pt idx="1">
                  <c:v>2018/19</c:v>
                </c:pt>
                <c:pt idx="2">
                  <c:v>2019/20</c:v>
                </c:pt>
                <c:pt idx="3">
                  <c:v>2020/21</c:v>
                </c:pt>
                <c:pt idx="4">
                  <c:v>2021/22</c:v>
                </c:pt>
              </c:strCache>
            </c:strRef>
          </c:cat>
          <c:val>
            <c:numRef>
              <c:f>'Figure 1'!$E$2:$E$6</c:f>
              <c:numCache>
                <c:formatCode>_(* #,##0_);_(* \(#,##0\);_(* "-"_);_(@_)</c:formatCode>
                <c:ptCount val="5"/>
                <c:pt idx="0">
                  <c:v>23772.428</c:v>
                </c:pt>
                <c:pt idx="1">
                  <c:v>24197.199000000001</c:v>
                </c:pt>
                <c:pt idx="2">
                  <c:v>24911.125</c:v>
                </c:pt>
                <c:pt idx="3">
                  <c:v>25022.667000000001</c:v>
                </c:pt>
                <c:pt idx="4">
                  <c:v>25735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5B-4933-B3CA-2C08627B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46230267258598"/>
              <c:y val="0.8939246525579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  <c:max val="28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pounds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2515656867608835E-2"/>
              <c:y val="9.90686526521835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3000"/>
        <c:min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033552550680767"/>
          <c:y val="0.11403858623751729"/>
          <c:w val="0.6489973244459144"/>
          <c:h val="6.7774181308875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2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Biomass-based Diesel Production</a:t>
            </a:r>
            <a:endParaRPr lang="en-US" sz="1050" b="1"/>
          </a:p>
        </c:rich>
      </c:tx>
      <c:layout>
        <c:manualLayout>
          <c:xMode val="edge"/>
          <c:yMode val="edge"/>
          <c:x val="1.4458792104600688E-3"/>
          <c:y val="6.28925230500033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60110426110306E-2"/>
          <c:y val="0.17323615317316104"/>
          <c:w val="0.87385084027579496"/>
          <c:h val="0.56978639208560466"/>
        </c:manualLayout>
      </c:layout>
      <c:areaChart>
        <c:grouping val="stacke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'Figure 2'!$A$2:$A$93</c:f>
              <c:numCache>
                <c:formatCode>mmm\-yy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</c:numCache>
            </c:numRef>
          </c:cat>
          <c:val>
            <c:numRef>
              <c:f>'Figure 2'!$B$2:$B$93</c:f>
              <c:numCache>
                <c:formatCode>0</c:formatCode>
                <c:ptCount val="92"/>
                <c:pt idx="0">
                  <c:v>72.540000000000006</c:v>
                </c:pt>
                <c:pt idx="1">
                  <c:v>75.643000000000001</c:v>
                </c:pt>
                <c:pt idx="2">
                  <c:v>99.177999999999997</c:v>
                </c:pt>
                <c:pt idx="3">
                  <c:v>93.352000000000004</c:v>
                </c:pt>
                <c:pt idx="4">
                  <c:v>106.31399999999999</c:v>
                </c:pt>
                <c:pt idx="5">
                  <c:v>111.07</c:v>
                </c:pt>
                <c:pt idx="6">
                  <c:v>122.887</c:v>
                </c:pt>
                <c:pt idx="7">
                  <c:v>125.437</c:v>
                </c:pt>
                <c:pt idx="8">
                  <c:v>115.67700000000001</c:v>
                </c:pt>
                <c:pt idx="9">
                  <c:v>122.988</c:v>
                </c:pt>
                <c:pt idx="10">
                  <c:v>109.639</c:v>
                </c:pt>
                <c:pt idx="11">
                  <c:v>124.254</c:v>
                </c:pt>
                <c:pt idx="12">
                  <c:v>72.546000000000006</c:v>
                </c:pt>
                <c:pt idx="13">
                  <c:v>77.736000000000004</c:v>
                </c:pt>
                <c:pt idx="14">
                  <c:v>97.673000000000002</c:v>
                </c:pt>
                <c:pt idx="15">
                  <c:v>107.85</c:v>
                </c:pt>
                <c:pt idx="16">
                  <c:v>116.94</c:v>
                </c:pt>
                <c:pt idx="17">
                  <c:v>121.824</c:v>
                </c:pt>
                <c:pt idx="18">
                  <c:v>121.07599999999999</c:v>
                </c:pt>
                <c:pt idx="19">
                  <c:v>123.176</c:v>
                </c:pt>
                <c:pt idx="20">
                  <c:v>104.119</c:v>
                </c:pt>
                <c:pt idx="21">
                  <c:v>106.467</c:v>
                </c:pt>
                <c:pt idx="22">
                  <c:v>105.883</c:v>
                </c:pt>
                <c:pt idx="23">
                  <c:v>108.057</c:v>
                </c:pt>
                <c:pt idx="24">
                  <c:v>104.57599999999999</c:v>
                </c:pt>
                <c:pt idx="25">
                  <c:v>105.154</c:v>
                </c:pt>
                <c:pt idx="26">
                  <c:v>120.15900000000001</c:v>
                </c:pt>
                <c:pt idx="27">
                  <c:v>119.95099999999999</c:v>
                </c:pt>
                <c:pt idx="28">
                  <c:v>135.34399999999999</c:v>
                </c:pt>
                <c:pt idx="29">
                  <c:v>134.62</c:v>
                </c:pt>
                <c:pt idx="30">
                  <c:v>139.887</c:v>
                </c:pt>
                <c:pt idx="31">
                  <c:v>142.17699999999999</c:v>
                </c:pt>
                <c:pt idx="32">
                  <c:v>134.667</c:v>
                </c:pt>
                <c:pt idx="33">
                  <c:v>144.19200000000001</c:v>
                </c:pt>
                <c:pt idx="34">
                  <c:v>143.15199999999999</c:v>
                </c:pt>
                <c:pt idx="35">
                  <c:v>143.851</c:v>
                </c:pt>
                <c:pt idx="36">
                  <c:v>92.757000000000005</c:v>
                </c:pt>
                <c:pt idx="37">
                  <c:v>93.983000000000004</c:v>
                </c:pt>
                <c:pt idx="38">
                  <c:v>115.973</c:v>
                </c:pt>
                <c:pt idx="39">
                  <c:v>126.821</c:v>
                </c:pt>
                <c:pt idx="40">
                  <c:v>136.18100000000001</c:v>
                </c:pt>
                <c:pt idx="41">
                  <c:v>140.459</c:v>
                </c:pt>
                <c:pt idx="42">
                  <c:v>149.51300000000001</c:v>
                </c:pt>
                <c:pt idx="43">
                  <c:v>149.48599999999999</c:v>
                </c:pt>
                <c:pt idx="44">
                  <c:v>147.29300000000001</c:v>
                </c:pt>
                <c:pt idx="45">
                  <c:v>147.624</c:v>
                </c:pt>
                <c:pt idx="46">
                  <c:v>147.97999999999999</c:v>
                </c:pt>
                <c:pt idx="47">
                  <c:v>147.63900000000001</c:v>
                </c:pt>
                <c:pt idx="48">
                  <c:v>125.52500000000001</c:v>
                </c:pt>
                <c:pt idx="49">
                  <c:v>127.94499999999999</c:v>
                </c:pt>
                <c:pt idx="50">
                  <c:v>149.12700000000001</c:v>
                </c:pt>
                <c:pt idx="51">
                  <c:v>142.52500000000001</c:v>
                </c:pt>
                <c:pt idx="52">
                  <c:v>151.31200000000001</c:v>
                </c:pt>
                <c:pt idx="53">
                  <c:v>158.86699999999999</c:v>
                </c:pt>
                <c:pt idx="54">
                  <c:v>166.33099999999999</c:v>
                </c:pt>
                <c:pt idx="55">
                  <c:v>172.28</c:v>
                </c:pt>
                <c:pt idx="56">
                  <c:v>164.39599999999999</c:v>
                </c:pt>
                <c:pt idx="57">
                  <c:v>170.952</c:v>
                </c:pt>
                <c:pt idx="58">
                  <c:v>160.273</c:v>
                </c:pt>
                <c:pt idx="59">
                  <c:v>167.785</c:v>
                </c:pt>
                <c:pt idx="60">
                  <c:v>143.917</c:v>
                </c:pt>
                <c:pt idx="61">
                  <c:v>130.529</c:v>
                </c:pt>
                <c:pt idx="62">
                  <c:v>140.82499999999999</c:v>
                </c:pt>
                <c:pt idx="63">
                  <c:v>152.149</c:v>
                </c:pt>
                <c:pt idx="64">
                  <c:v>154.59</c:v>
                </c:pt>
                <c:pt idx="65">
                  <c:v>141.553</c:v>
                </c:pt>
                <c:pt idx="66">
                  <c:v>158.61000000000001</c:v>
                </c:pt>
                <c:pt idx="67">
                  <c:v>155.898</c:v>
                </c:pt>
                <c:pt idx="68">
                  <c:v>141.846</c:v>
                </c:pt>
                <c:pt idx="69">
                  <c:v>144.31399999999999</c:v>
                </c:pt>
                <c:pt idx="70">
                  <c:v>127.42400000000001</c:v>
                </c:pt>
                <c:pt idx="71">
                  <c:v>132.85</c:v>
                </c:pt>
                <c:pt idx="72">
                  <c:v>134.233</c:v>
                </c:pt>
                <c:pt idx="73">
                  <c:v>131.82900000000001</c:v>
                </c:pt>
                <c:pt idx="74">
                  <c:v>150.94499999999999</c:v>
                </c:pt>
                <c:pt idx="75">
                  <c:v>143.72900000000001</c:v>
                </c:pt>
                <c:pt idx="76">
                  <c:v>152.47999999999999</c:v>
                </c:pt>
                <c:pt idx="77">
                  <c:v>150.80000000000001</c:v>
                </c:pt>
                <c:pt idx="78">
                  <c:v>161.66900000000001</c:v>
                </c:pt>
                <c:pt idx="79">
                  <c:v>162.60900000000001</c:v>
                </c:pt>
                <c:pt idx="80">
                  <c:v>159.161</c:v>
                </c:pt>
                <c:pt idx="81">
                  <c:v>157.203</c:v>
                </c:pt>
                <c:pt idx="82">
                  <c:v>152.06700000000001</c:v>
                </c:pt>
                <c:pt idx="83">
                  <c:v>157.97399999999999</c:v>
                </c:pt>
                <c:pt idx="84">
                  <c:v>130.83000000000001</c:v>
                </c:pt>
                <c:pt idx="85">
                  <c:v>101.05200000000001</c:v>
                </c:pt>
                <c:pt idx="86">
                  <c:v>141.6</c:v>
                </c:pt>
                <c:pt idx="87">
                  <c:v>134.80799999999999</c:v>
                </c:pt>
                <c:pt idx="88">
                  <c:v>148.56</c:v>
                </c:pt>
                <c:pt idx="89">
                  <c:v>136.119</c:v>
                </c:pt>
                <c:pt idx="90">
                  <c:v>140.125</c:v>
                </c:pt>
                <c:pt idx="91">
                  <c:v>139.65600000000001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7-4E46-896D-7A0D8B096427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Renewable diesel fuel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'Figure 2'!$A$2:$A$93</c:f>
              <c:numCache>
                <c:formatCode>mmm\-yy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</c:numCache>
            </c:numRef>
          </c:cat>
          <c:val>
            <c:numRef>
              <c:f>'Figure 2'!$C$2:$C$93</c:f>
              <c:numCache>
                <c:formatCode>0</c:formatCode>
                <c:ptCount val="92"/>
                <c:pt idx="0">
                  <c:v>10.329000000000001</c:v>
                </c:pt>
                <c:pt idx="1">
                  <c:v>12.292999999999999</c:v>
                </c:pt>
                <c:pt idx="2">
                  <c:v>14.952999999999999</c:v>
                </c:pt>
                <c:pt idx="3">
                  <c:v>13.676</c:v>
                </c:pt>
                <c:pt idx="4">
                  <c:v>16.219000000000001</c:v>
                </c:pt>
                <c:pt idx="5">
                  <c:v>15.664999999999999</c:v>
                </c:pt>
                <c:pt idx="6">
                  <c:v>13.997999999999999</c:v>
                </c:pt>
                <c:pt idx="7">
                  <c:v>2.0430000000000001</c:v>
                </c:pt>
                <c:pt idx="8">
                  <c:v>5.9489999999999998</c:v>
                </c:pt>
                <c:pt idx="9">
                  <c:v>14.722</c:v>
                </c:pt>
                <c:pt idx="10">
                  <c:v>16.463000000000001</c:v>
                </c:pt>
                <c:pt idx="11">
                  <c:v>22.831</c:v>
                </c:pt>
                <c:pt idx="12">
                  <c:v>17.504999999999999</c:v>
                </c:pt>
                <c:pt idx="13">
                  <c:v>13.481</c:v>
                </c:pt>
                <c:pt idx="14">
                  <c:v>16.11</c:v>
                </c:pt>
                <c:pt idx="15">
                  <c:v>15.733000000000001</c:v>
                </c:pt>
                <c:pt idx="16">
                  <c:v>15.741</c:v>
                </c:pt>
                <c:pt idx="17">
                  <c:v>14.42</c:v>
                </c:pt>
                <c:pt idx="18">
                  <c:v>15.521000000000001</c:v>
                </c:pt>
                <c:pt idx="19">
                  <c:v>15.1</c:v>
                </c:pt>
                <c:pt idx="20">
                  <c:v>13.846</c:v>
                </c:pt>
                <c:pt idx="21">
                  <c:v>13.414</c:v>
                </c:pt>
                <c:pt idx="22">
                  <c:v>12.656000000000001</c:v>
                </c:pt>
                <c:pt idx="23">
                  <c:v>13.321</c:v>
                </c:pt>
                <c:pt idx="24">
                  <c:v>11.757999999999999</c:v>
                </c:pt>
                <c:pt idx="25">
                  <c:v>7.3550000000000004</c:v>
                </c:pt>
                <c:pt idx="26">
                  <c:v>17.925000000000001</c:v>
                </c:pt>
                <c:pt idx="27">
                  <c:v>21.253</c:v>
                </c:pt>
                <c:pt idx="28">
                  <c:v>21.933</c:v>
                </c:pt>
                <c:pt idx="29">
                  <c:v>22.568999999999999</c:v>
                </c:pt>
                <c:pt idx="30">
                  <c:v>19.52</c:v>
                </c:pt>
                <c:pt idx="31">
                  <c:v>24.8</c:v>
                </c:pt>
                <c:pt idx="32">
                  <c:v>19.215</c:v>
                </c:pt>
                <c:pt idx="33">
                  <c:v>20.64</c:v>
                </c:pt>
                <c:pt idx="34">
                  <c:v>27.361000000000001</c:v>
                </c:pt>
                <c:pt idx="35">
                  <c:v>27.157</c:v>
                </c:pt>
                <c:pt idx="36">
                  <c:v>18.561</c:v>
                </c:pt>
                <c:pt idx="37">
                  <c:v>21.042999999999999</c:v>
                </c:pt>
                <c:pt idx="38">
                  <c:v>15.856999999999999</c:v>
                </c:pt>
                <c:pt idx="39">
                  <c:v>20.402999999999999</c:v>
                </c:pt>
                <c:pt idx="40">
                  <c:v>24.393000000000001</c:v>
                </c:pt>
                <c:pt idx="41">
                  <c:v>17.747</c:v>
                </c:pt>
                <c:pt idx="42">
                  <c:v>19.652000000000001</c:v>
                </c:pt>
                <c:pt idx="43">
                  <c:v>24.672000000000001</c:v>
                </c:pt>
                <c:pt idx="44">
                  <c:v>21.966999999999999</c:v>
                </c:pt>
                <c:pt idx="45">
                  <c:v>25.347000000000001</c:v>
                </c:pt>
                <c:pt idx="46">
                  <c:v>23.177</c:v>
                </c:pt>
                <c:pt idx="47">
                  <c:v>25.524000000000001</c:v>
                </c:pt>
                <c:pt idx="48">
                  <c:v>13.680999999999999</c:v>
                </c:pt>
                <c:pt idx="49">
                  <c:v>21.605</c:v>
                </c:pt>
                <c:pt idx="50">
                  <c:v>25.068000000000001</c:v>
                </c:pt>
                <c:pt idx="51">
                  <c:v>25.751000000000001</c:v>
                </c:pt>
                <c:pt idx="52">
                  <c:v>21.507999999999999</c:v>
                </c:pt>
                <c:pt idx="53">
                  <c:v>12.384</c:v>
                </c:pt>
                <c:pt idx="54">
                  <c:v>10.554</c:v>
                </c:pt>
                <c:pt idx="55">
                  <c:v>16.024999999999999</c:v>
                </c:pt>
                <c:pt idx="56">
                  <c:v>32.247999999999998</c:v>
                </c:pt>
                <c:pt idx="57">
                  <c:v>39.005000000000003</c:v>
                </c:pt>
                <c:pt idx="58">
                  <c:v>40.325000000000003</c:v>
                </c:pt>
                <c:pt idx="59">
                  <c:v>47.33</c:v>
                </c:pt>
                <c:pt idx="60">
                  <c:v>36.487000000000002</c:v>
                </c:pt>
                <c:pt idx="61">
                  <c:v>40.173999999999999</c:v>
                </c:pt>
                <c:pt idx="62">
                  <c:v>35.74</c:v>
                </c:pt>
                <c:pt idx="63">
                  <c:v>38.557000000000002</c:v>
                </c:pt>
                <c:pt idx="64">
                  <c:v>40.383000000000003</c:v>
                </c:pt>
                <c:pt idx="65">
                  <c:v>39.761000000000003</c:v>
                </c:pt>
                <c:pt idx="66">
                  <c:v>46.281999999999996</c:v>
                </c:pt>
                <c:pt idx="67">
                  <c:v>30.18</c:v>
                </c:pt>
                <c:pt idx="68">
                  <c:v>40.692</c:v>
                </c:pt>
                <c:pt idx="69">
                  <c:v>48.569000000000003</c:v>
                </c:pt>
                <c:pt idx="70">
                  <c:v>42.389000000000003</c:v>
                </c:pt>
                <c:pt idx="71">
                  <c:v>52.795999999999999</c:v>
                </c:pt>
                <c:pt idx="72">
                  <c:v>41.856999999999999</c:v>
                </c:pt>
                <c:pt idx="73">
                  <c:v>37.301000000000002</c:v>
                </c:pt>
                <c:pt idx="74">
                  <c:v>45.226999999999997</c:v>
                </c:pt>
                <c:pt idx="75">
                  <c:v>38.639000000000003</c:v>
                </c:pt>
                <c:pt idx="76">
                  <c:v>46.420999999999999</c:v>
                </c:pt>
                <c:pt idx="77">
                  <c:v>53.207999999999998</c:v>
                </c:pt>
                <c:pt idx="78">
                  <c:v>46.683999999999997</c:v>
                </c:pt>
                <c:pt idx="79">
                  <c:v>43.953000000000003</c:v>
                </c:pt>
                <c:pt idx="80">
                  <c:v>48.113</c:v>
                </c:pt>
                <c:pt idx="81">
                  <c:v>25.23</c:v>
                </c:pt>
                <c:pt idx="82">
                  <c:v>49.054000000000002</c:v>
                </c:pt>
                <c:pt idx="83">
                  <c:v>57.808</c:v>
                </c:pt>
                <c:pt idx="84">
                  <c:v>56.07</c:v>
                </c:pt>
                <c:pt idx="85">
                  <c:v>48.552</c:v>
                </c:pt>
                <c:pt idx="86">
                  <c:v>52.503999999999998</c:v>
                </c:pt>
                <c:pt idx="87">
                  <c:v>50.622</c:v>
                </c:pt>
                <c:pt idx="88">
                  <c:v>63.140999999999998</c:v>
                </c:pt>
                <c:pt idx="89">
                  <c:v>55.237000000000002</c:v>
                </c:pt>
                <c:pt idx="90">
                  <c:v>71.647999999999996</c:v>
                </c:pt>
                <c:pt idx="91">
                  <c:v>70.513999999999996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F3-4B10-B84D-A678C004E716}"/>
            </c:ext>
          </c:extLst>
        </c:ser>
        <c:ser>
          <c:idx val="2"/>
          <c:order val="2"/>
          <c:tx>
            <c:strRef>
              <c:f>'Figure 2'!$D$1</c:f>
              <c:strCache>
                <c:ptCount val="1"/>
                <c:pt idx="0">
                  <c:v>Other biofuels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/>
          </c:spPr>
          <c:cat>
            <c:numRef>
              <c:f>'Figure 2'!$A$2:$A$93</c:f>
              <c:numCache>
                <c:formatCode>mmm\-yy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</c:numCache>
            </c:numRef>
          </c:cat>
          <c:val>
            <c:numRef>
              <c:f>'Figure 2'!$D$2:$D$93</c:f>
              <c:numCache>
                <c:formatCode>0</c:formatCode>
                <c:ptCount val="92"/>
                <c:pt idx="0">
                  <c:v>0.92800000000000005</c:v>
                </c:pt>
                <c:pt idx="1">
                  <c:v>0.89</c:v>
                </c:pt>
                <c:pt idx="2">
                  <c:v>1.0069999999999999</c:v>
                </c:pt>
                <c:pt idx="3">
                  <c:v>0.89200000000000002</c:v>
                </c:pt>
                <c:pt idx="4">
                  <c:v>0.93700000000000006</c:v>
                </c:pt>
                <c:pt idx="5">
                  <c:v>0.92900000000000005</c:v>
                </c:pt>
                <c:pt idx="6">
                  <c:v>1.0649999999999999</c:v>
                </c:pt>
                <c:pt idx="7">
                  <c:v>0.11700000000000001</c:v>
                </c:pt>
                <c:pt idx="8">
                  <c:v>0.70099999999999996</c:v>
                </c:pt>
                <c:pt idx="9">
                  <c:v>1.6</c:v>
                </c:pt>
                <c:pt idx="10">
                  <c:v>1.3660000000000001</c:v>
                </c:pt>
                <c:pt idx="11">
                  <c:v>1.768</c:v>
                </c:pt>
                <c:pt idx="12">
                  <c:v>1.7709999999999999</c:v>
                </c:pt>
                <c:pt idx="13">
                  <c:v>1.349</c:v>
                </c:pt>
                <c:pt idx="14">
                  <c:v>1.1379999999999999</c:v>
                </c:pt>
                <c:pt idx="15">
                  <c:v>1.2470000000000001</c:v>
                </c:pt>
                <c:pt idx="16">
                  <c:v>1.508</c:v>
                </c:pt>
                <c:pt idx="17">
                  <c:v>1.145</c:v>
                </c:pt>
                <c:pt idx="18">
                  <c:v>1.571</c:v>
                </c:pt>
                <c:pt idx="19">
                  <c:v>1.5429999999999999</c:v>
                </c:pt>
                <c:pt idx="20">
                  <c:v>1.415</c:v>
                </c:pt>
                <c:pt idx="21">
                  <c:v>1.331</c:v>
                </c:pt>
                <c:pt idx="22">
                  <c:v>1.244</c:v>
                </c:pt>
                <c:pt idx="23">
                  <c:v>1.26</c:v>
                </c:pt>
                <c:pt idx="24">
                  <c:v>1.26</c:v>
                </c:pt>
                <c:pt idx="25">
                  <c:v>0.76200000000000001</c:v>
                </c:pt>
                <c:pt idx="26">
                  <c:v>1.5149999999999999</c:v>
                </c:pt>
                <c:pt idx="27">
                  <c:v>1.1659999999999999</c:v>
                </c:pt>
                <c:pt idx="28">
                  <c:v>1.8280000000000001</c:v>
                </c:pt>
                <c:pt idx="29">
                  <c:v>1.766</c:v>
                </c:pt>
                <c:pt idx="30">
                  <c:v>1.643</c:v>
                </c:pt>
                <c:pt idx="31">
                  <c:v>2.121</c:v>
                </c:pt>
                <c:pt idx="32">
                  <c:v>1.901</c:v>
                </c:pt>
                <c:pt idx="33">
                  <c:v>1.9119999999999999</c:v>
                </c:pt>
                <c:pt idx="34">
                  <c:v>2.1389999999999998</c:v>
                </c:pt>
                <c:pt idx="35">
                  <c:v>3.133</c:v>
                </c:pt>
                <c:pt idx="36">
                  <c:v>2.1150000000000002</c:v>
                </c:pt>
                <c:pt idx="37">
                  <c:v>1.958</c:v>
                </c:pt>
                <c:pt idx="38">
                  <c:v>1.238</c:v>
                </c:pt>
                <c:pt idx="39">
                  <c:v>3.125</c:v>
                </c:pt>
                <c:pt idx="40">
                  <c:v>1.4910000000000001</c:v>
                </c:pt>
                <c:pt idx="41">
                  <c:v>1.5549999999999999</c:v>
                </c:pt>
                <c:pt idx="42">
                  <c:v>1.595</c:v>
                </c:pt>
                <c:pt idx="43">
                  <c:v>2.0139999999999998</c:v>
                </c:pt>
                <c:pt idx="44">
                  <c:v>2.0630000000000002</c:v>
                </c:pt>
                <c:pt idx="45">
                  <c:v>2.0289999999999999</c:v>
                </c:pt>
                <c:pt idx="46">
                  <c:v>2.0630000000000002</c:v>
                </c:pt>
                <c:pt idx="47">
                  <c:v>2.7080000000000002</c:v>
                </c:pt>
                <c:pt idx="48">
                  <c:v>2.1579999999999999</c:v>
                </c:pt>
                <c:pt idx="49">
                  <c:v>2.4329999999999998</c:v>
                </c:pt>
                <c:pt idx="50">
                  <c:v>2.7309999999999999</c:v>
                </c:pt>
                <c:pt idx="51">
                  <c:v>2.16</c:v>
                </c:pt>
                <c:pt idx="52">
                  <c:v>2.0289999999999999</c:v>
                </c:pt>
                <c:pt idx="53">
                  <c:v>0.47499999999999998</c:v>
                </c:pt>
                <c:pt idx="54">
                  <c:v>0.14399999999999999</c:v>
                </c:pt>
                <c:pt idx="55">
                  <c:v>1.8520000000000001</c:v>
                </c:pt>
                <c:pt idx="56">
                  <c:v>2.9820000000000002</c:v>
                </c:pt>
                <c:pt idx="57">
                  <c:v>2.544</c:v>
                </c:pt>
                <c:pt idx="58">
                  <c:v>2.72</c:v>
                </c:pt>
                <c:pt idx="59">
                  <c:v>3.4329999999999998</c:v>
                </c:pt>
                <c:pt idx="60">
                  <c:v>2.4940000000000002</c:v>
                </c:pt>
                <c:pt idx="61">
                  <c:v>2.7759999999999998</c:v>
                </c:pt>
                <c:pt idx="62">
                  <c:v>3.3780000000000001</c:v>
                </c:pt>
                <c:pt idx="63">
                  <c:v>2.7810000000000001</c:v>
                </c:pt>
                <c:pt idx="64">
                  <c:v>3.3889999999999998</c:v>
                </c:pt>
                <c:pt idx="65">
                  <c:v>2.0230000000000001</c:v>
                </c:pt>
                <c:pt idx="66">
                  <c:v>2.4430000000000001</c:v>
                </c:pt>
                <c:pt idx="67">
                  <c:v>1.4430000000000001</c:v>
                </c:pt>
                <c:pt idx="68">
                  <c:v>2.915</c:v>
                </c:pt>
                <c:pt idx="69">
                  <c:v>2.3490000000000002</c:v>
                </c:pt>
                <c:pt idx="70">
                  <c:v>2.8690000000000002</c:v>
                </c:pt>
                <c:pt idx="71">
                  <c:v>4.367</c:v>
                </c:pt>
                <c:pt idx="72">
                  <c:v>2.3279999999999998</c:v>
                </c:pt>
                <c:pt idx="73">
                  <c:v>2.3069999999999999</c:v>
                </c:pt>
                <c:pt idx="74">
                  <c:v>3.1549999999999998</c:v>
                </c:pt>
                <c:pt idx="75">
                  <c:v>3.21</c:v>
                </c:pt>
                <c:pt idx="76">
                  <c:v>2.3650000000000002</c:v>
                </c:pt>
                <c:pt idx="77">
                  <c:v>2.532</c:v>
                </c:pt>
                <c:pt idx="78">
                  <c:v>4.1269999999999998</c:v>
                </c:pt>
                <c:pt idx="79">
                  <c:v>2.4769999999999999</c:v>
                </c:pt>
                <c:pt idx="80">
                  <c:v>3.0649999999999999</c:v>
                </c:pt>
                <c:pt idx="81">
                  <c:v>1.2090000000000001</c:v>
                </c:pt>
                <c:pt idx="82">
                  <c:v>2.6030000000000002</c:v>
                </c:pt>
                <c:pt idx="83">
                  <c:v>2.5910000000000002</c:v>
                </c:pt>
                <c:pt idx="84">
                  <c:v>7.6020000000000003</c:v>
                </c:pt>
                <c:pt idx="85">
                  <c:v>7.2240000000000002</c:v>
                </c:pt>
                <c:pt idx="86">
                  <c:v>6.9219999999999997</c:v>
                </c:pt>
                <c:pt idx="87">
                  <c:v>5.8769999999999998</c:v>
                </c:pt>
                <c:pt idx="88">
                  <c:v>5.3129999999999997</c:v>
                </c:pt>
                <c:pt idx="89">
                  <c:v>3.8250000000000002</c:v>
                </c:pt>
                <c:pt idx="90">
                  <c:v>5.2450000000000001</c:v>
                </c:pt>
                <c:pt idx="91">
                  <c:v>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F3-4B10-B84D-A678C004E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940510805235443"/>
              <c:y val="0.86762123965273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months"/>
        <c:majorUnit val="4"/>
        <c:majorTimeUnit val="months"/>
      </c:dateAx>
      <c:valAx>
        <c:axId val="667170632"/>
        <c:scaling>
          <c:orientation val="minMax"/>
          <c:max val="225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6.07867353507161E-3"/>
              <c:y val="9.3024833434282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547927060648196"/>
          <c:y val="0.11425641025641026"/>
          <c:w val="0.54904145878703603"/>
          <c:h val="5.4528299347196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Figure 3</a:t>
            </a:r>
          </a:p>
          <a:p>
            <a:pPr algn="l">
              <a:defRPr/>
            </a:pPr>
            <a:endParaRPr lang="en-US" sz="1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/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Biodiesel and Renewable Diesel</a:t>
            </a:r>
            <a:r>
              <a:rPr lang="en-US" sz="1050" b="1" baseline="0">
                <a:latin typeface="Arial" panose="020B0604020202020204" pitchFamily="34" charset="0"/>
                <a:cs typeface="Arial" panose="020B0604020202020204" pitchFamily="34" charset="0"/>
              </a:rPr>
              <a:t> Fuel Share of Total Biomass-based Diesel Production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8180385173571366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760110426110306E-2"/>
          <c:y val="0.20372388664831531"/>
          <c:w val="0.87385084027579496"/>
          <c:h val="0.55014457034334119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3'!$B$1</c:f>
              <c:strCache>
                <c:ptCount val="1"/>
                <c:pt idx="0">
                  <c:v>Biodiesel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3'!$A$2:$A$93</c:f>
              <c:numCache>
                <c:formatCode>mmm\-yy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</c:numCache>
            </c:numRef>
          </c:cat>
          <c:val>
            <c:numRef>
              <c:f>'Figure 3'!$B$2:$B$93</c:f>
              <c:numCache>
                <c:formatCode>0</c:formatCode>
                <c:ptCount val="92"/>
                <c:pt idx="0">
                  <c:v>86.566344857214474</c:v>
                </c:pt>
                <c:pt idx="1">
                  <c:v>85.158624726994347</c:v>
                </c:pt>
                <c:pt idx="2">
                  <c:v>86.138373082735498</c:v>
                </c:pt>
                <c:pt idx="3">
                  <c:v>86.501111934766499</c:v>
                </c:pt>
                <c:pt idx="4">
                  <c:v>86.105126751437595</c:v>
                </c:pt>
                <c:pt idx="5">
                  <c:v>87.001817270334641</c:v>
                </c:pt>
                <c:pt idx="6">
                  <c:v>89.080826386371882</c:v>
                </c:pt>
                <c:pt idx="7">
                  <c:v>98.307170231275023</c:v>
                </c:pt>
                <c:pt idx="8">
                  <c:v>94.563751256877069</c:v>
                </c:pt>
                <c:pt idx="9">
                  <c:v>88.283683870504632</c:v>
                </c:pt>
                <c:pt idx="10">
                  <c:v>86.012960115479956</c:v>
                </c:pt>
                <c:pt idx="11">
                  <c:v>83.474300148468615</c:v>
                </c:pt>
                <c:pt idx="12">
                  <c:v>79.007209601184897</c:v>
                </c:pt>
                <c:pt idx="13">
                  <c:v>83.978998768446303</c:v>
                </c:pt>
                <c:pt idx="14">
                  <c:v>84.991428894631966</c:v>
                </c:pt>
                <c:pt idx="15">
                  <c:v>86.397500600817111</c:v>
                </c:pt>
                <c:pt idx="16">
                  <c:v>87.145742199435134</c:v>
                </c:pt>
                <c:pt idx="17">
                  <c:v>88.670854289644723</c:v>
                </c:pt>
                <c:pt idx="18">
                  <c:v>87.629552428927113</c:v>
                </c:pt>
                <c:pt idx="19">
                  <c:v>88.096753660089107</c:v>
                </c:pt>
                <c:pt idx="20">
                  <c:v>87.216451666945886</c:v>
                </c:pt>
                <c:pt idx="21">
                  <c:v>87.83536283536283</c:v>
                </c:pt>
                <c:pt idx="22">
                  <c:v>88.3956821919638</c:v>
                </c:pt>
                <c:pt idx="23">
                  <c:v>88.110536701511762</c:v>
                </c:pt>
                <c:pt idx="24">
                  <c:v>88.929707297991385</c:v>
                </c:pt>
                <c:pt idx="25">
                  <c:v>92.833999876402601</c:v>
                </c:pt>
                <c:pt idx="26">
                  <c:v>86.074398813745091</c:v>
                </c:pt>
                <c:pt idx="27">
                  <c:v>84.253002739341142</c:v>
                </c:pt>
                <c:pt idx="28">
                  <c:v>85.065837025863416</c:v>
                </c:pt>
                <c:pt idx="29">
                  <c:v>84.690635714510407</c:v>
                </c:pt>
                <c:pt idx="30">
                  <c:v>86.859360447066123</c:v>
                </c:pt>
                <c:pt idx="31">
                  <c:v>84.079646122366896</c:v>
                </c:pt>
                <c:pt idx="32">
                  <c:v>86.445247555895051</c:v>
                </c:pt>
                <c:pt idx="33">
                  <c:v>86.475075564937882</c:v>
                </c:pt>
                <c:pt idx="34">
                  <c:v>82.913606561175072</c:v>
                </c:pt>
                <c:pt idx="35">
                  <c:v>82.606049121114495</c:v>
                </c:pt>
                <c:pt idx="36">
                  <c:v>81.772500066118326</c:v>
                </c:pt>
                <c:pt idx="37">
                  <c:v>80.338336866580036</c:v>
                </c:pt>
                <c:pt idx="38">
                  <c:v>87.153184837827297</c:v>
                </c:pt>
                <c:pt idx="39">
                  <c:v>84.35107649535415</c:v>
                </c:pt>
                <c:pt idx="40">
                  <c:v>84.028630487767259</c:v>
                </c:pt>
                <c:pt idx="41">
                  <c:v>87.918202815455572</c:v>
                </c:pt>
                <c:pt idx="42">
                  <c:v>87.557390489576008</c:v>
                </c:pt>
                <c:pt idx="43">
                  <c:v>84.852303430738147</c:v>
                </c:pt>
                <c:pt idx="44">
                  <c:v>85.973862236827529</c:v>
                </c:pt>
                <c:pt idx="45">
                  <c:v>84.356571428571428</c:v>
                </c:pt>
                <c:pt idx="46">
                  <c:v>85.428934303198261</c:v>
                </c:pt>
                <c:pt idx="47">
                  <c:v>83.94732502800349</c:v>
                </c:pt>
                <c:pt idx="48">
                  <c:v>88.795591522594151</c:v>
                </c:pt>
                <c:pt idx="49">
                  <c:v>84.183757393919066</c:v>
                </c:pt>
                <c:pt idx="50">
                  <c:v>84.287781332308427</c:v>
                </c:pt>
                <c:pt idx="51">
                  <c:v>83.623764932291294</c:v>
                </c:pt>
                <c:pt idx="52">
                  <c:v>86.538670509982893</c:v>
                </c:pt>
                <c:pt idx="53">
                  <c:v>92.511908505409792</c:v>
                </c:pt>
                <c:pt idx="54">
                  <c:v>93.956922312163542</c:v>
                </c:pt>
                <c:pt idx="55">
                  <c:v>90.598820974247602</c:v>
                </c:pt>
                <c:pt idx="56">
                  <c:v>82.351998236702642</c:v>
                </c:pt>
                <c:pt idx="57">
                  <c:v>80.447621422958008</c:v>
                </c:pt>
                <c:pt idx="58">
                  <c:v>78.828731346954029</c:v>
                </c:pt>
                <c:pt idx="59">
                  <c:v>76.772608305726891</c:v>
                </c:pt>
                <c:pt idx="60">
                  <c:v>78.68702774223884</c:v>
                </c:pt>
                <c:pt idx="61">
                  <c:v>75.241960121974401</c:v>
                </c:pt>
                <c:pt idx="62">
                  <c:v>78.260893727458139</c:v>
                </c:pt>
                <c:pt idx="63">
                  <c:v>78.6352571490591</c:v>
                </c:pt>
                <c:pt idx="64">
                  <c:v>77.933273510047286</c:v>
                </c:pt>
                <c:pt idx="65">
                  <c:v>77.20918308906549</c:v>
                </c:pt>
                <c:pt idx="66">
                  <c:v>76.499385053174819</c:v>
                </c:pt>
                <c:pt idx="67">
                  <c:v>83.136288735661594</c:v>
                </c:pt>
                <c:pt idx="68">
                  <c:v>76.486225620507625</c:v>
                </c:pt>
                <c:pt idx="69">
                  <c:v>73.919234551712847</c:v>
                </c:pt>
                <c:pt idx="70">
                  <c:v>73.791130517367179</c:v>
                </c:pt>
                <c:pt idx="71">
                  <c:v>69.916268886865637</c:v>
                </c:pt>
                <c:pt idx="72">
                  <c:v>75.235122016836868</c:v>
                </c:pt>
                <c:pt idx="73">
                  <c:v>76.896469256928214</c:v>
                </c:pt>
                <c:pt idx="74">
                  <c:v>75.727322440010639</c:v>
                </c:pt>
                <c:pt idx="75">
                  <c:v>77.449374387050185</c:v>
                </c:pt>
                <c:pt idx="76">
                  <c:v>75.760436437351558</c:v>
                </c:pt>
                <c:pt idx="77">
                  <c:v>73.012491527064967</c:v>
                </c:pt>
                <c:pt idx="78">
                  <c:v>76.086690512048193</c:v>
                </c:pt>
                <c:pt idx="79">
                  <c:v>77.788833662617975</c:v>
                </c:pt>
                <c:pt idx="80">
                  <c:v>75.668801315970896</c:v>
                </c:pt>
                <c:pt idx="81">
                  <c:v>85.60296664161794</c:v>
                </c:pt>
                <c:pt idx="82">
                  <c:v>74.643635506862225</c:v>
                </c:pt>
                <c:pt idx="83">
                  <c:v>72.341360882526686</c:v>
                </c:pt>
                <c:pt idx="84">
                  <c:v>67.264089829410494</c:v>
                </c:pt>
                <c:pt idx="85">
                  <c:v>64.434922335297273</c:v>
                </c:pt>
                <c:pt idx="86">
                  <c:v>70.438649726901005</c:v>
                </c:pt>
                <c:pt idx="87">
                  <c:v>70.466841255155316</c:v>
                </c:pt>
                <c:pt idx="88">
                  <c:v>68.456412950316576</c:v>
                </c:pt>
                <c:pt idx="89">
                  <c:v>69.739882468068103</c:v>
                </c:pt>
                <c:pt idx="90">
                  <c:v>64.568376816669584</c:v>
                </c:pt>
                <c:pt idx="91">
                  <c:v>64.652562381371226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AE-41AB-9101-510547F2C1F6}"/>
            </c:ext>
          </c:extLst>
        </c:ser>
        <c:ser>
          <c:idx val="0"/>
          <c:order val="1"/>
          <c:tx>
            <c:strRef>
              <c:f>'Figure 3'!$C$1</c:f>
              <c:strCache>
                <c:ptCount val="1"/>
                <c:pt idx="0">
                  <c:v>Renewable diesel fuel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'Figure 3'!$A$2:$A$93</c:f>
              <c:numCache>
                <c:formatCode>mmm\-yy</c:formatCode>
                <c:ptCount val="9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</c:numCache>
            </c:numRef>
          </c:cat>
          <c:val>
            <c:numRef>
              <c:f>'Figure 3'!$C$2:$C$93</c:f>
              <c:numCache>
                <c:formatCode>0</c:formatCode>
                <c:ptCount val="92"/>
                <c:pt idx="0">
                  <c:v>13.433655142785527</c:v>
                </c:pt>
                <c:pt idx="1">
                  <c:v>14.841375273005653</c:v>
                </c:pt>
                <c:pt idx="2">
                  <c:v>13.861626917264502</c:v>
                </c:pt>
                <c:pt idx="3">
                  <c:v>13.498888065233505</c:v>
                </c:pt>
                <c:pt idx="4">
                  <c:v>13.894873248562401</c:v>
                </c:pt>
                <c:pt idx="5">
                  <c:v>12.998182729665364</c:v>
                </c:pt>
                <c:pt idx="6">
                  <c:v>10.91917361362812</c:v>
                </c:pt>
                <c:pt idx="7">
                  <c:v>1.6928297687249794</c:v>
                </c:pt>
                <c:pt idx="8">
                  <c:v>5.4362487431229294</c:v>
                </c:pt>
                <c:pt idx="9">
                  <c:v>11.716316129495375</c:v>
                </c:pt>
                <c:pt idx="10">
                  <c:v>13.987039884520048</c:v>
                </c:pt>
                <c:pt idx="11">
                  <c:v>16.525699851531385</c:v>
                </c:pt>
                <c:pt idx="12">
                  <c:v>20.992790398815096</c:v>
                </c:pt>
                <c:pt idx="13">
                  <c:v>16.021001231553701</c:v>
                </c:pt>
                <c:pt idx="14">
                  <c:v>15.008571105368041</c:v>
                </c:pt>
                <c:pt idx="15">
                  <c:v>13.602499399182888</c:v>
                </c:pt>
                <c:pt idx="16">
                  <c:v>12.854257800564872</c:v>
                </c:pt>
                <c:pt idx="17">
                  <c:v>11.329145710355281</c:v>
                </c:pt>
                <c:pt idx="18">
                  <c:v>12.370447571072884</c:v>
                </c:pt>
                <c:pt idx="19">
                  <c:v>11.90324633991089</c:v>
                </c:pt>
                <c:pt idx="20">
                  <c:v>12.783548333054117</c:v>
                </c:pt>
                <c:pt idx="21">
                  <c:v>12.16463716463717</c:v>
                </c:pt>
                <c:pt idx="22">
                  <c:v>11.604317808036201</c:v>
                </c:pt>
                <c:pt idx="23">
                  <c:v>11.889463298488234</c:v>
                </c:pt>
                <c:pt idx="24">
                  <c:v>11.070292702008611</c:v>
                </c:pt>
                <c:pt idx="25">
                  <c:v>7.166000123597394</c:v>
                </c:pt>
                <c:pt idx="26">
                  <c:v>13.925601186254911</c:v>
                </c:pt>
                <c:pt idx="27">
                  <c:v>15.746997260658857</c:v>
                </c:pt>
                <c:pt idx="28">
                  <c:v>14.934162974136578</c:v>
                </c:pt>
                <c:pt idx="29">
                  <c:v>15.30936428548959</c:v>
                </c:pt>
                <c:pt idx="30">
                  <c:v>13.140639552933875</c:v>
                </c:pt>
                <c:pt idx="31">
                  <c:v>15.920353877633097</c:v>
                </c:pt>
                <c:pt idx="32">
                  <c:v>13.554752444104945</c:v>
                </c:pt>
                <c:pt idx="33">
                  <c:v>13.524924435062125</c:v>
                </c:pt>
                <c:pt idx="34">
                  <c:v>17.086393438824921</c:v>
                </c:pt>
                <c:pt idx="35">
                  <c:v>17.393950878885512</c:v>
                </c:pt>
                <c:pt idx="36">
                  <c:v>18.227499933881674</c:v>
                </c:pt>
                <c:pt idx="37">
                  <c:v>19.66166313341996</c:v>
                </c:pt>
                <c:pt idx="38">
                  <c:v>12.846815162172708</c:v>
                </c:pt>
                <c:pt idx="39">
                  <c:v>15.64892350464585</c:v>
                </c:pt>
                <c:pt idx="40">
                  <c:v>15.971369512232748</c:v>
                </c:pt>
                <c:pt idx="41">
                  <c:v>12.081797184544429</c:v>
                </c:pt>
                <c:pt idx="42">
                  <c:v>12.442609510423996</c:v>
                </c:pt>
                <c:pt idx="43">
                  <c:v>15.147696569261859</c:v>
                </c:pt>
                <c:pt idx="44">
                  <c:v>14.026137763172475</c:v>
                </c:pt>
                <c:pt idx="45">
                  <c:v>15.643428571428576</c:v>
                </c:pt>
                <c:pt idx="46">
                  <c:v>14.571065696801744</c:v>
                </c:pt>
                <c:pt idx="47">
                  <c:v>16.052674971996517</c:v>
                </c:pt>
                <c:pt idx="48">
                  <c:v>11.204408477405847</c:v>
                </c:pt>
                <c:pt idx="49">
                  <c:v>15.816242606080932</c:v>
                </c:pt>
                <c:pt idx="50">
                  <c:v>15.71221866769158</c:v>
                </c:pt>
                <c:pt idx="51">
                  <c:v>16.376235067708699</c:v>
                </c:pt>
                <c:pt idx="52">
                  <c:v>13.461329490017103</c:v>
                </c:pt>
                <c:pt idx="53">
                  <c:v>7.4880914945902095</c:v>
                </c:pt>
                <c:pt idx="54">
                  <c:v>6.0430776878364618</c:v>
                </c:pt>
                <c:pt idx="55">
                  <c:v>9.4011790257524037</c:v>
                </c:pt>
                <c:pt idx="56">
                  <c:v>17.648001763297362</c:v>
                </c:pt>
                <c:pt idx="57">
                  <c:v>19.552378577041996</c:v>
                </c:pt>
                <c:pt idx="58">
                  <c:v>21.171268653045971</c:v>
                </c:pt>
                <c:pt idx="59">
                  <c:v>23.227391694273113</c:v>
                </c:pt>
                <c:pt idx="60">
                  <c:v>21.312972257761153</c:v>
                </c:pt>
                <c:pt idx="61">
                  <c:v>24.758039878025595</c:v>
                </c:pt>
                <c:pt idx="62">
                  <c:v>21.739106272541864</c:v>
                </c:pt>
                <c:pt idx="63">
                  <c:v>21.3647428509409</c:v>
                </c:pt>
                <c:pt idx="64">
                  <c:v>22.066726489952714</c:v>
                </c:pt>
                <c:pt idx="65">
                  <c:v>22.79081691093451</c:v>
                </c:pt>
                <c:pt idx="66">
                  <c:v>23.500614946825181</c:v>
                </c:pt>
                <c:pt idx="67">
                  <c:v>16.863711264338399</c:v>
                </c:pt>
                <c:pt idx="68">
                  <c:v>23.513774379492382</c:v>
                </c:pt>
                <c:pt idx="69">
                  <c:v>26.080765448287156</c:v>
                </c:pt>
                <c:pt idx="70">
                  <c:v>26.208869482632824</c:v>
                </c:pt>
                <c:pt idx="71">
                  <c:v>30.083731113134359</c:v>
                </c:pt>
                <c:pt idx="72">
                  <c:v>24.764877983163135</c:v>
                </c:pt>
                <c:pt idx="73">
                  <c:v>23.103530743071786</c:v>
                </c:pt>
                <c:pt idx="74">
                  <c:v>24.272677559989365</c:v>
                </c:pt>
                <c:pt idx="75">
                  <c:v>22.550625612949815</c:v>
                </c:pt>
                <c:pt idx="76">
                  <c:v>24.239563562648435</c:v>
                </c:pt>
                <c:pt idx="77">
                  <c:v>26.98750847293503</c:v>
                </c:pt>
                <c:pt idx="78">
                  <c:v>23.913309487951807</c:v>
                </c:pt>
                <c:pt idx="79">
                  <c:v>22.211166337382025</c:v>
                </c:pt>
                <c:pt idx="80">
                  <c:v>24.331198684029111</c:v>
                </c:pt>
                <c:pt idx="81">
                  <c:v>14.39703335838206</c:v>
                </c:pt>
                <c:pt idx="82">
                  <c:v>25.356364493137772</c:v>
                </c:pt>
                <c:pt idx="83">
                  <c:v>27.658639117473317</c:v>
                </c:pt>
                <c:pt idx="84">
                  <c:v>32.735910170589499</c:v>
                </c:pt>
                <c:pt idx="85">
                  <c:v>35.565077664702727</c:v>
                </c:pt>
                <c:pt idx="86">
                  <c:v>29.561350273098995</c:v>
                </c:pt>
                <c:pt idx="87">
                  <c:v>29.533158744844677</c:v>
                </c:pt>
                <c:pt idx="88">
                  <c:v>31.543587049683421</c:v>
                </c:pt>
                <c:pt idx="89">
                  <c:v>30.260117531931897</c:v>
                </c:pt>
                <c:pt idx="90">
                  <c:v>35.431623183330416</c:v>
                </c:pt>
                <c:pt idx="91">
                  <c:v>35.347437618628774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AE-41AB-9101-510547F2C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8940510805235443"/>
              <c:y val="0.88175116041529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months"/>
        <c:majorUnit val="4"/>
        <c:majorTimeUnit val="months"/>
      </c:dateAx>
      <c:valAx>
        <c:axId val="667170632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Percent</a:t>
                </a:r>
              </a:p>
            </c:rich>
          </c:tx>
          <c:layout>
            <c:manualLayout>
              <c:xMode val="edge"/>
              <c:yMode val="edge"/>
              <c:x val="8.2242984552304103E-3"/>
              <c:y val="0.137062821415615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628644833574908"/>
          <c:y val="0.13796918677848197"/>
          <c:w val="0.43274921480209971"/>
          <c:h val="5.225070453416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solidFill>
                  <a:schemeClr val="tx1"/>
                </a:solidFill>
                <a:effectLst/>
              </a:rPr>
              <a:t>Figure 4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baseline="0"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Australia Rapeseed Production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6.7196668559530567E-3"/>
          <c:y val="2.39164344934166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308143260555171E-2"/>
          <c:y val="0.21425029825817227"/>
          <c:w val="0.82335675105536965"/>
          <c:h val="0.58058601765688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4'!$B$2:$B$13</c:f>
              <c:numCache>
                <c:formatCode>_(* #,##0_);_(* \(#,##0\);_(* "-"??_);_(@_)</c:formatCode>
                <c:ptCount val="12"/>
                <c:pt idx="0">
                  <c:v>2078</c:v>
                </c:pt>
                <c:pt idx="1">
                  <c:v>2461</c:v>
                </c:pt>
                <c:pt idx="2">
                  <c:v>3272</c:v>
                </c:pt>
                <c:pt idx="3">
                  <c:v>2721</c:v>
                </c:pt>
                <c:pt idx="4">
                  <c:v>2897</c:v>
                </c:pt>
                <c:pt idx="5">
                  <c:v>2091</c:v>
                </c:pt>
                <c:pt idx="6">
                  <c:v>2681</c:v>
                </c:pt>
                <c:pt idx="7">
                  <c:v>3171</c:v>
                </c:pt>
                <c:pt idx="8">
                  <c:v>2120</c:v>
                </c:pt>
                <c:pt idx="9">
                  <c:v>2034</c:v>
                </c:pt>
                <c:pt idx="10">
                  <c:v>2450</c:v>
                </c:pt>
                <c:pt idx="1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EA-4C29-A78B-2CD73E039F5D}"/>
            </c:ext>
          </c:extLst>
        </c:ser>
        <c:ser>
          <c:idx val="1"/>
          <c:order val="1"/>
          <c:tx>
            <c:strRef>
              <c:f>'Figure 4'!$D$1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4'!$A$2:$A$13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4'!$D$2:$D$13</c:f>
              <c:numCache>
                <c:formatCode>_(* #,##0_);_(* \(#,##0\);_(* "-"_);_(@_)</c:formatCode>
                <c:ptCount val="12"/>
                <c:pt idx="0" formatCode="_(* #,##0_);_(* \(#,##0\);_(* &quot;-&quot;??_);_(@_)">
                  <c:v>2359</c:v>
                </c:pt>
                <c:pt idx="1">
                  <c:v>3427</c:v>
                </c:pt>
                <c:pt idx="2">
                  <c:v>4142</c:v>
                </c:pt>
                <c:pt idx="3">
                  <c:v>3832</c:v>
                </c:pt>
                <c:pt idx="4">
                  <c:v>3540</c:v>
                </c:pt>
                <c:pt idx="5">
                  <c:v>2775</c:v>
                </c:pt>
                <c:pt idx="6">
                  <c:v>4313</c:v>
                </c:pt>
                <c:pt idx="7">
                  <c:v>3893</c:v>
                </c:pt>
                <c:pt idx="8">
                  <c:v>2366</c:v>
                </c:pt>
                <c:pt idx="9">
                  <c:v>2299</c:v>
                </c:pt>
                <c:pt idx="10">
                  <c:v>4500</c:v>
                </c:pt>
                <c:pt idx="11">
                  <c:v>5500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EA-4C29-A78B-2CD73E039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4'!$C$1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'Figure 4'!$C$2:$C$13</c:f>
              <c:numCache>
                <c:formatCode>#,##0.0_);\(#,##0.0\)</c:formatCode>
                <c:ptCount val="12"/>
                <c:pt idx="0">
                  <c:v>1.1352261790182867</c:v>
                </c:pt>
                <c:pt idx="1">
                  <c:v>1.3925233644859814</c:v>
                </c:pt>
                <c:pt idx="2">
                  <c:v>1.2658924205378974</c:v>
                </c:pt>
                <c:pt idx="3">
                  <c:v>1.408305769937523</c:v>
                </c:pt>
                <c:pt idx="4">
                  <c:v>1.2219537452537108</c:v>
                </c:pt>
                <c:pt idx="5">
                  <c:v>1.327116212338594</c:v>
                </c:pt>
                <c:pt idx="6">
                  <c:v>1.608728086534875</c:v>
                </c:pt>
                <c:pt idx="7">
                  <c:v>1.2276884263639229</c:v>
                </c:pt>
                <c:pt idx="8">
                  <c:v>1.1160377358490565</c:v>
                </c:pt>
                <c:pt idx="9">
                  <c:v>1.1302851524090463</c:v>
                </c:pt>
                <c:pt idx="10">
                  <c:v>1.8367346938775511</c:v>
                </c:pt>
                <c:pt idx="11">
                  <c:v>1.8333333333333333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EA-4C29-A78B-2CD73E039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26671"/>
        <c:axId val="548629999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Marketing year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42835103460904594"/>
              <c:y val="0.88041445980815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 </a:t>
                </a:r>
              </a:p>
            </c:rich>
          </c:tx>
          <c:layout>
            <c:manualLayout>
              <c:xMode val="edge"/>
              <c:yMode val="edge"/>
              <c:x val="6.8371138445854403E-3"/>
              <c:y val="0.12649087748840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valAx>
        <c:axId val="548629999"/>
        <c:scaling>
          <c:orientation val="minMax"/>
        </c:scaling>
        <c:delete val="0"/>
        <c:axPos val="r"/>
        <c:numFmt formatCode="#,##0.0_);\(#,##0.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8626671"/>
        <c:crosses val="max"/>
        <c:crossBetween val="between"/>
      </c:valAx>
      <c:catAx>
        <c:axId val="548626671"/>
        <c:scaling>
          <c:orientation val="minMax"/>
        </c:scaling>
        <c:delete val="1"/>
        <c:axPos val="b"/>
        <c:majorTickMark val="out"/>
        <c:minorTickMark val="none"/>
        <c:tickLblPos val="nextTo"/>
        <c:crossAx val="5486299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2395541580792336"/>
          <c:y val="0.14871224051539012"/>
          <c:w val="0.33931833685987489"/>
          <c:h val="4.9135944420995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5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Global Sunflowerseed Production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4632443245063851E-3"/>
          <c:y val="9.821690201680895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493368493257597E-2"/>
          <c:y val="0.19195858391716783"/>
          <c:w val="0.84034371290443155"/>
          <c:h val="0.598212541912986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5'!$B$1</c:f>
              <c:strCache>
                <c:ptCount val="1"/>
                <c:pt idx="0">
                  <c:v>Russia and Ukraine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5'!$A$2:$A$13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5'!$B$2:$B$13</c:f>
              <c:numCache>
                <c:formatCode>_(* #,##0_);_(* \(#,##0\);_(* "-"_);_(@_)</c:formatCode>
                <c:ptCount val="12"/>
                <c:pt idx="0">
                  <c:v>13079</c:v>
                </c:pt>
                <c:pt idx="1">
                  <c:v>18862</c:v>
                </c:pt>
                <c:pt idx="2">
                  <c:v>16495</c:v>
                </c:pt>
                <c:pt idx="3">
                  <c:v>21442</c:v>
                </c:pt>
                <c:pt idx="4">
                  <c:v>18574</c:v>
                </c:pt>
                <c:pt idx="5">
                  <c:v>21073</c:v>
                </c:pt>
                <c:pt idx="6">
                  <c:v>26058</c:v>
                </c:pt>
                <c:pt idx="7">
                  <c:v>24062</c:v>
                </c:pt>
                <c:pt idx="8">
                  <c:v>27710</c:v>
                </c:pt>
                <c:pt idx="9">
                  <c:v>31805</c:v>
                </c:pt>
                <c:pt idx="10">
                  <c:v>27369</c:v>
                </c:pt>
                <c:pt idx="11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8C-4D14-A801-8E36B299E206}"/>
            </c:ext>
          </c:extLst>
        </c:ser>
        <c:ser>
          <c:idx val="1"/>
          <c:order val="1"/>
          <c:tx>
            <c:strRef>
              <c:f>'Figure 5'!$C$1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5'!$A$2:$A$13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5'!$C$2:$C$13</c:f>
              <c:numCache>
                <c:formatCode>_(* #,##0_);_(* \(#,##0\);_(* "-"_);_(@_)</c:formatCode>
                <c:ptCount val="12"/>
                <c:pt idx="0">
                  <c:v>19704</c:v>
                </c:pt>
                <c:pt idx="1">
                  <c:v>19871</c:v>
                </c:pt>
                <c:pt idx="2">
                  <c:v>18477</c:v>
                </c:pt>
                <c:pt idx="3">
                  <c:v>20126</c:v>
                </c:pt>
                <c:pt idx="4">
                  <c:v>20710</c:v>
                </c:pt>
                <c:pt idx="5">
                  <c:v>19677</c:v>
                </c:pt>
                <c:pt idx="6">
                  <c:v>22335</c:v>
                </c:pt>
                <c:pt idx="7">
                  <c:v>23948</c:v>
                </c:pt>
                <c:pt idx="8">
                  <c:v>22949</c:v>
                </c:pt>
                <c:pt idx="9">
                  <c:v>22132</c:v>
                </c:pt>
                <c:pt idx="10">
                  <c:v>21738</c:v>
                </c:pt>
                <c:pt idx="11">
                  <c:v>24041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8C-4D14-A801-8E36B299E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3"/>
          <c:order val="2"/>
          <c:tx>
            <c:v>Yield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'Figure 5'!$D$2:$D$13</c:f>
              <c:numCache>
                <c:formatCode>_(* #,##0.0_);_(* \(#,##0.0\);_(* "-"_);_(@_)</c:formatCode>
                <c:ptCount val="12"/>
                <c:pt idx="0">
                  <c:v>1.4191160555820095</c:v>
                </c:pt>
                <c:pt idx="1">
                  <c:v>1.5715097172069623</c:v>
                </c:pt>
                <c:pt idx="2">
                  <c:v>1.4818016185754841</c:v>
                </c:pt>
                <c:pt idx="3">
                  <c:v>1.7304137873615852</c:v>
                </c:pt>
                <c:pt idx="4">
                  <c:v>1.6995024875621891</c:v>
                </c:pt>
                <c:pt idx="5">
                  <c:v>1.7339687672864985</c:v>
                </c:pt>
                <c:pt idx="6">
                  <c:v>1.8623436598037328</c:v>
                </c:pt>
                <c:pt idx="7">
                  <c:v>1.847177869262437</c:v>
                </c:pt>
                <c:pt idx="8">
                  <c:v>1.9627663696241766</c:v>
                </c:pt>
                <c:pt idx="9">
                  <c:v>2.0724275724275723</c:v>
                </c:pt>
                <c:pt idx="10">
                  <c:v>1.8209359240581431</c:v>
                </c:pt>
                <c:pt idx="11">
                  <c:v>2.0055200056254834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8C-4D14-A801-8E36B299E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055039"/>
        <c:axId val="1660048383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111599899777778"/>
              <c:y val="0.88031676896687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1.7455976322830399E-3"/>
              <c:y val="0.111847128864989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660048383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0055039"/>
        <c:crosses val="max"/>
        <c:crossBetween val="between"/>
      </c:valAx>
      <c:catAx>
        <c:axId val="1660055039"/>
        <c:scaling>
          <c:orientation val="minMax"/>
        </c:scaling>
        <c:delete val="1"/>
        <c:axPos val="b"/>
        <c:majorTickMark val="out"/>
        <c:minorTickMark val="none"/>
        <c:tickLblPos val="nextTo"/>
        <c:crossAx val="16600483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81931659950957"/>
          <c:y val="0.17195215432189223"/>
          <c:w val="0.62361350371109714"/>
          <c:h val="7.56738856812028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6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baseline="0"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050" b="1" i="0" baseline="0">
                <a:effectLst/>
              </a:rPr>
              <a:t>Global Sunflowerseed Oil Production and Use 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1.0001751866833095E-2"/>
          <c:y val="1.657726527353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413252872592356"/>
          <c:y val="0.23246513584709017"/>
          <c:w val="0.79157289486609173"/>
          <c:h val="0.56237109705549093"/>
        </c:manualLayout>
      </c:layout>
      <c:barChart>
        <c:barDir val="col"/>
        <c:grouping val="clustered"/>
        <c:varyColors val="0"/>
        <c:ser>
          <c:idx val="5"/>
          <c:order val="1"/>
          <c:tx>
            <c:strRef>
              <c:f>'Figure 6'!$C$1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>
              <a:solidFill>
                <a:srgbClr val="70AD47">
                  <a:lumMod val="60000"/>
                  <a:lumOff val="40000"/>
                </a:srgbClr>
              </a:solidFill>
            </a:ln>
            <a:effectLst/>
          </c:spPr>
          <c:invertIfNegative val="0"/>
          <c:cat>
            <c:strRef>
              <c:f>'Figure 6'!$A$2:$A$13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6'!$C$2:$C$13</c:f>
              <c:numCache>
                <c:formatCode>_(* #,##0_);_(* \(#,##0\);_(* "-"_);_(@_)</c:formatCode>
                <c:ptCount val="12"/>
                <c:pt idx="0">
                  <c:v>4538</c:v>
                </c:pt>
                <c:pt idx="1">
                  <c:v>6478</c:v>
                </c:pt>
                <c:pt idx="2">
                  <c:v>5545</c:v>
                </c:pt>
                <c:pt idx="3">
                  <c:v>7777</c:v>
                </c:pt>
                <c:pt idx="4">
                  <c:v>7444</c:v>
                </c:pt>
                <c:pt idx="5">
                  <c:v>8176</c:v>
                </c:pt>
                <c:pt idx="6">
                  <c:v>10755</c:v>
                </c:pt>
                <c:pt idx="7">
                  <c:v>10327</c:v>
                </c:pt>
                <c:pt idx="8">
                  <c:v>11503</c:v>
                </c:pt>
                <c:pt idx="9" formatCode="_(* #,##0_);_(* \(#,##0\);_(* &quot;-&quot;??_);_(@_)">
                  <c:v>13132</c:v>
                </c:pt>
                <c:pt idx="10">
                  <c:v>10527</c:v>
                </c:pt>
                <c:pt idx="11">
                  <c:v>13349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92-49CA-B697-102DC89D597E}"/>
            </c:ext>
          </c:extLst>
        </c:ser>
        <c:ser>
          <c:idx val="1"/>
          <c:order val="2"/>
          <c:tx>
            <c:strRef>
              <c:f>'Figure 6'!$D$1</c:f>
              <c:strCache>
                <c:ptCount val="1"/>
                <c:pt idx="0">
                  <c:v>Food and other use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>
              <a:solidFill>
                <a:srgbClr val="1F497D">
                  <a:lumMod val="40000"/>
                  <a:lumOff val="60000"/>
                </a:srgbClr>
              </a:solidFill>
            </a:ln>
            <a:effectLst/>
          </c:spPr>
          <c:invertIfNegative val="0"/>
          <c:cat>
            <c:strRef>
              <c:f>'Figure 6'!$A$2:$A$13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6'!$D$2:$D$13</c:f>
              <c:numCache>
                <c:formatCode>_(* #,##0_);_(* \(#,##0\);_(* "-"_);_(@_)</c:formatCode>
                <c:ptCount val="12"/>
                <c:pt idx="0">
                  <c:v>11335</c:v>
                </c:pt>
                <c:pt idx="1">
                  <c:v>12559</c:v>
                </c:pt>
                <c:pt idx="2">
                  <c:v>13192</c:v>
                </c:pt>
                <c:pt idx="3">
                  <c:v>14242</c:v>
                </c:pt>
                <c:pt idx="4">
                  <c:v>14275</c:v>
                </c:pt>
                <c:pt idx="5">
                  <c:v>15117</c:v>
                </c:pt>
                <c:pt idx="6">
                  <c:v>16462</c:v>
                </c:pt>
                <c:pt idx="7">
                  <c:v>17514</c:v>
                </c:pt>
                <c:pt idx="8">
                  <c:v>18189</c:v>
                </c:pt>
                <c:pt idx="9" formatCode="_(* #,##0_);_(* \(#,##0\);_(* &quot;-&quot;??_);_(@_)">
                  <c:v>19097</c:v>
                </c:pt>
                <c:pt idx="10">
                  <c:v>18589</c:v>
                </c:pt>
                <c:pt idx="11">
                  <c:v>20567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892-49CA-B697-102DC89D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Production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'Figure 6'!$A$2:$A$13</c:f>
              <c:strCache>
                <c:ptCount val="12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</c:v>
                </c:pt>
              </c:strCache>
            </c:strRef>
          </c:cat>
          <c:val>
            <c:numRef>
              <c:f>'Figure 6'!$B$2:$B$13</c:f>
              <c:numCache>
                <c:formatCode>_(* #,##0_);_(* \(#,##0\);_(* "-"_);_(@_)</c:formatCode>
                <c:ptCount val="12"/>
                <c:pt idx="0">
                  <c:v>12085</c:v>
                </c:pt>
                <c:pt idx="1">
                  <c:v>14362</c:v>
                </c:pt>
                <c:pt idx="2">
                  <c:v>12871</c:v>
                </c:pt>
                <c:pt idx="3">
                  <c:v>15647</c:v>
                </c:pt>
                <c:pt idx="4">
                  <c:v>14974</c:v>
                </c:pt>
                <c:pt idx="5">
                  <c:v>15461</c:v>
                </c:pt>
                <c:pt idx="6">
                  <c:v>18294</c:v>
                </c:pt>
                <c:pt idx="7">
                  <c:v>18605</c:v>
                </c:pt>
                <c:pt idx="8">
                  <c:v>19619</c:v>
                </c:pt>
                <c:pt idx="9" formatCode="_(* #,##0_);_(* \(#,##0\);_(* &quot;-&quot;??_);_(@_)">
                  <c:v>21201</c:v>
                </c:pt>
                <c:pt idx="10">
                  <c:v>19133</c:v>
                </c:pt>
                <c:pt idx="11">
                  <c:v>22054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92-49CA-B697-102DC89D5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835103460904594"/>
              <c:y val="0.880414459808152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 </a:t>
                </a:r>
              </a:p>
            </c:rich>
          </c:tx>
          <c:layout>
            <c:manualLayout>
              <c:xMode val="edge"/>
              <c:yMode val="edge"/>
              <c:x val="1.2515680772323007E-2"/>
              <c:y val="0.150777361846162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127976047057761"/>
          <c:y val="0.14606922438630043"/>
          <c:w val="0.48407787673739827"/>
          <c:h val="4.8419937944915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182033</xdr:colOff>
      <xdr:row>0</xdr:row>
      <xdr:rowOff>38100</xdr:rowOff>
    </xdr:from>
    <xdr:to>
      <xdr:col>15</xdr:col>
      <xdr:colOff>172508</xdr:colOff>
      <xdr:row>17</xdr:row>
      <xdr:rowOff>112184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E556A1-7316-4BAB-A542-C6B4855BD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0.00751</cdr:x>
      <cdr:y>0.91339</cdr:y>
    </cdr:from>
    <cdr:to>
      <cdr:x>0.99263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45720" y="3535679"/>
          <a:ext cx="5995881" cy="335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+mn-cs"/>
            </a:rPr>
            <a:t>USDA,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+mn-cs"/>
            </a:rPr>
            <a:t>Economic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+mn-cs"/>
            </a:rPr>
            <a:t> Research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+mn-cs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+mn-cs"/>
            </a:rPr>
            <a:t> Supply, and Distribution.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0.8327</cdr:x>
      <cdr:y>0.11839</cdr:y>
    </cdr:from>
    <cdr:to>
      <cdr:x>0.99031</cdr:x>
      <cdr:y>0.15509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91E85F9D-5751-4588-BA88-3FA46BD432EE}"/>
            </a:ext>
          </a:extLst>
        </cdr:cNvPr>
        <cdr:cNvSpPr/>
      </cdr:nvSpPr>
      <cdr:spPr bwMode="auto">
        <a:xfrm xmlns:a="http://schemas.openxmlformats.org/drawingml/2006/main">
          <a:off x="4909560" y="462354"/>
          <a:ext cx="929265" cy="1433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Tons per hectare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0</xdr:row>
      <xdr:rowOff>28575</xdr:rowOff>
    </xdr:from>
    <xdr:to>
      <xdr:col>11</xdr:col>
      <xdr:colOff>365760</xdr:colOff>
      <xdr:row>23</xdr:row>
      <xdr:rowOff>11430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BB84ED3-CF58-4607-AC94-6C2CEA1F7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0.91985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48099"/>
          <a:ext cx="6393180" cy="335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using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data from USDA, Foreign Agricultural Service,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Production,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Supply, and Distribution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0.94041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724275"/>
          <a:ext cx="5897880" cy="236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Outlook Board,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</a:t>
          </a:r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0</xdr:row>
      <xdr:rowOff>104775</xdr:rowOff>
    </xdr:from>
    <xdr:to>
      <xdr:col>14</xdr:col>
      <xdr:colOff>3864</xdr:colOff>
      <xdr:row>22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89D511-50B7-4E33-8BD2-C444B8C42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0.91026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81375"/>
          <a:ext cx="591889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U.S.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Department of Energy, U.S. Energy Information Administration.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200023</xdr:colOff>
      <xdr:row>0</xdr:row>
      <xdr:rowOff>66675</xdr:rowOff>
    </xdr:from>
    <xdr:to>
      <xdr:col>13</xdr:col>
      <xdr:colOff>230503</xdr:colOff>
      <xdr:row>21</xdr:row>
      <xdr:rowOff>91440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7749F9B1-83EB-4848-BC4D-5A07244B5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0.91872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552825"/>
          <a:ext cx="591889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U.S. Department of Energy, U.S.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Energy Information Administration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127635</xdr:colOff>
      <xdr:row>0</xdr:row>
      <xdr:rowOff>38100</xdr:rowOff>
    </xdr:from>
    <xdr:to>
      <xdr:col>15</xdr:col>
      <xdr:colOff>340995</xdr:colOff>
      <xdr:row>22</xdr:row>
      <xdr:rowOff>121920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E4BF01-ABC1-4C81-B5B2-B8DFC838A4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0.9099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82987"/>
          <a:ext cx="5897880" cy="325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Research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Production,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Supply, and Distribution.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0.79628</cdr:x>
      <cdr:y>0.12182</cdr:y>
    </cdr:from>
    <cdr:to>
      <cdr:x>0.97861</cdr:x>
      <cdr:y>0.19091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CDE19E9-2814-4FAA-BB29-D9B4C68256A8}"/>
            </a:ext>
          </a:extLst>
        </cdr:cNvPr>
        <cdr:cNvSpPr/>
      </cdr:nvSpPr>
      <cdr:spPr>
        <a:xfrm xmlns:a="http://schemas.openxmlformats.org/drawingml/2006/main">
          <a:off x="5342537" y="505674"/>
          <a:ext cx="1223327" cy="28679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Tons</a:t>
          </a:r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per hectare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31538</xdr:colOff>
      <xdr:row>0</xdr:row>
      <xdr:rowOff>95250</xdr:rowOff>
    </xdr:from>
    <xdr:to>
      <xdr:col>14</xdr:col>
      <xdr:colOff>22013</xdr:colOff>
      <xdr:row>21</xdr:row>
      <xdr:rowOff>95250</xdr:rowOff>
    </xdr:to>
    <xdr:graphicFrame macro="">
      <xdr:nvGraphicFramePr>
        <xdr:cNvPr id="162" name="Chart 1">
          <a:extLst>
            <a:ext uri="{FF2B5EF4-FFF2-40B4-BE49-F238E27FC236}">
              <a16:creationId xmlns:a16="http://schemas.microsoft.com/office/drawing/2014/main" id="{F5CE2468-50A1-429D-9E27-BAA221CD6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7109375" defaultRowHeight="14.25" x14ac:dyDescent="0.2"/>
  <cols>
    <col min="1" max="1" width="166.85546875" style="13" bestFit="1" customWidth="1"/>
    <col min="2" max="16384" width="9.7109375" style="1"/>
  </cols>
  <sheetData>
    <row r="1" spans="1:3" ht="15" x14ac:dyDescent="0.25">
      <c r="A1" s="8" t="s">
        <v>0</v>
      </c>
      <c r="B1" s="158"/>
      <c r="C1" s="158"/>
    </row>
    <row r="2" spans="1:3" s="2" customFormat="1" x14ac:dyDescent="0.2">
      <c r="A2" s="9"/>
    </row>
    <row r="3" spans="1:3" x14ac:dyDescent="0.2">
      <c r="A3" s="11" t="s">
        <v>1</v>
      </c>
      <c r="B3" s="3"/>
      <c r="C3" s="2"/>
    </row>
    <row r="4" spans="1:3" x14ac:dyDescent="0.2">
      <c r="A4" s="11" t="s">
        <v>2</v>
      </c>
      <c r="B4" s="4"/>
      <c r="C4" s="158"/>
    </row>
    <row r="5" spans="1:3" x14ac:dyDescent="0.2">
      <c r="A5" s="11" t="s">
        <v>3</v>
      </c>
      <c r="B5" s="4"/>
      <c r="C5" s="158"/>
    </row>
    <row r="6" spans="1:3" x14ac:dyDescent="0.2">
      <c r="A6" s="11" t="s">
        <v>4</v>
      </c>
      <c r="B6" s="4"/>
      <c r="C6" s="158"/>
    </row>
    <row r="7" spans="1:3" x14ac:dyDescent="0.2">
      <c r="A7" s="11" t="s">
        <v>5</v>
      </c>
      <c r="B7" s="4"/>
      <c r="C7" s="158"/>
    </row>
    <row r="8" spans="1:3" x14ac:dyDescent="0.2">
      <c r="A8" s="11" t="s">
        <v>6</v>
      </c>
      <c r="B8" s="4"/>
      <c r="C8" s="158"/>
    </row>
    <row r="9" spans="1:3" x14ac:dyDescent="0.2">
      <c r="A9" s="11" t="s">
        <v>7</v>
      </c>
      <c r="B9" s="4"/>
      <c r="C9" s="158"/>
    </row>
    <row r="10" spans="1:3" x14ac:dyDescent="0.2">
      <c r="A10" s="11" t="s">
        <v>8</v>
      </c>
      <c r="B10" s="4"/>
      <c r="C10" s="158"/>
    </row>
    <row r="11" spans="1:3" x14ac:dyDescent="0.2">
      <c r="A11" s="11" t="s">
        <v>9</v>
      </c>
      <c r="B11" s="4"/>
      <c r="C11" s="158"/>
    </row>
    <row r="12" spans="1:3" x14ac:dyDescent="0.2">
      <c r="A12" s="11" t="s">
        <v>10</v>
      </c>
      <c r="B12" s="4"/>
      <c r="C12" s="158"/>
    </row>
    <row r="13" spans="1:3" x14ac:dyDescent="0.2">
      <c r="A13" s="12" t="s">
        <v>163</v>
      </c>
      <c r="B13" s="4"/>
      <c r="C13" s="158"/>
    </row>
    <row r="14" spans="1:3" ht="12.75" x14ac:dyDescent="0.2">
      <c r="A14" s="158"/>
      <c r="B14" s="158"/>
      <c r="C14" s="158"/>
    </row>
    <row r="15" spans="1:3" ht="15" x14ac:dyDescent="0.25">
      <c r="A15" s="8" t="s">
        <v>11</v>
      </c>
      <c r="B15" s="159"/>
      <c r="C15" s="158"/>
    </row>
    <row r="16" spans="1:3" ht="15" x14ac:dyDescent="0.25">
      <c r="A16" s="10">
        <f ca="1">TODAY()</f>
        <v>44540</v>
      </c>
      <c r="B16" s="158"/>
      <c r="C16" s="158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A746D-7AA0-4336-B54C-68FB16ED45FB}">
  <dimension ref="A1:D93"/>
  <sheetViews>
    <sheetView zoomScaleNormal="100" workbookViewId="0"/>
  </sheetViews>
  <sheetFormatPr defaultColWidth="9.140625" defaultRowHeight="12.75" x14ac:dyDescent="0.2"/>
  <cols>
    <col min="1" max="1" width="7.140625" style="137" bestFit="1" customWidth="1"/>
    <col min="2" max="2" width="8.85546875" style="137" bestFit="1" customWidth="1"/>
    <col min="3" max="3" width="17.42578125" style="137" customWidth="1"/>
    <col min="4" max="4" width="9.85546875" style="137" customWidth="1"/>
    <col min="5" max="16384" width="9.140625" style="137"/>
  </cols>
  <sheetData>
    <row r="1" spans="1:4" ht="25.5" x14ac:dyDescent="0.2">
      <c r="A1" s="138" t="s">
        <v>159</v>
      </c>
      <c r="B1" s="138" t="s">
        <v>160</v>
      </c>
      <c r="C1" s="126" t="s">
        <v>165</v>
      </c>
      <c r="D1" s="126" t="s">
        <v>166</v>
      </c>
    </row>
    <row r="2" spans="1:4" x14ac:dyDescent="0.2">
      <c r="A2" s="136">
        <v>41640</v>
      </c>
      <c r="B2" s="147">
        <v>72.540000000000006</v>
      </c>
      <c r="C2" s="147">
        <v>10.329000000000001</v>
      </c>
      <c r="D2" s="147">
        <v>0.92800000000000005</v>
      </c>
    </row>
    <row r="3" spans="1:4" x14ac:dyDescent="0.2">
      <c r="A3" s="136">
        <v>41671</v>
      </c>
      <c r="B3" s="147">
        <v>75.643000000000001</v>
      </c>
      <c r="C3" s="147">
        <v>12.292999999999999</v>
      </c>
      <c r="D3" s="147">
        <v>0.89</v>
      </c>
    </row>
    <row r="4" spans="1:4" x14ac:dyDescent="0.2">
      <c r="A4" s="136">
        <v>41699</v>
      </c>
      <c r="B4" s="147">
        <v>99.177999999999997</v>
      </c>
      <c r="C4" s="147">
        <v>14.952999999999999</v>
      </c>
      <c r="D4" s="147">
        <v>1.0069999999999999</v>
      </c>
    </row>
    <row r="5" spans="1:4" x14ac:dyDescent="0.2">
      <c r="A5" s="136">
        <v>41730</v>
      </c>
      <c r="B5" s="147">
        <v>93.352000000000004</v>
      </c>
      <c r="C5" s="147">
        <v>13.676</v>
      </c>
      <c r="D5" s="147">
        <v>0.89200000000000002</v>
      </c>
    </row>
    <row r="6" spans="1:4" x14ac:dyDescent="0.2">
      <c r="A6" s="136">
        <v>41760</v>
      </c>
      <c r="B6" s="147">
        <v>106.31399999999999</v>
      </c>
      <c r="C6" s="147">
        <v>16.219000000000001</v>
      </c>
      <c r="D6" s="147">
        <v>0.93700000000000006</v>
      </c>
    </row>
    <row r="7" spans="1:4" x14ac:dyDescent="0.2">
      <c r="A7" s="136">
        <v>41791</v>
      </c>
      <c r="B7" s="147">
        <v>111.07</v>
      </c>
      <c r="C7" s="147">
        <v>15.664999999999999</v>
      </c>
      <c r="D7" s="147">
        <v>0.92900000000000005</v>
      </c>
    </row>
    <row r="8" spans="1:4" x14ac:dyDescent="0.2">
      <c r="A8" s="136">
        <v>41821</v>
      </c>
      <c r="B8" s="147">
        <v>122.887</v>
      </c>
      <c r="C8" s="147">
        <v>13.997999999999999</v>
      </c>
      <c r="D8" s="147">
        <v>1.0649999999999999</v>
      </c>
    </row>
    <row r="9" spans="1:4" x14ac:dyDescent="0.2">
      <c r="A9" s="136">
        <v>41852</v>
      </c>
      <c r="B9" s="147">
        <v>125.437</v>
      </c>
      <c r="C9" s="147">
        <v>2.0430000000000001</v>
      </c>
      <c r="D9" s="147">
        <v>0.11700000000000001</v>
      </c>
    </row>
    <row r="10" spans="1:4" x14ac:dyDescent="0.2">
      <c r="A10" s="136">
        <v>41883</v>
      </c>
      <c r="B10" s="147">
        <v>115.67700000000001</v>
      </c>
      <c r="C10" s="147">
        <v>5.9489999999999998</v>
      </c>
      <c r="D10" s="147">
        <v>0.70099999999999996</v>
      </c>
    </row>
    <row r="11" spans="1:4" x14ac:dyDescent="0.2">
      <c r="A11" s="136">
        <v>41913</v>
      </c>
      <c r="B11" s="147">
        <v>122.988</v>
      </c>
      <c r="C11" s="147">
        <v>14.722</v>
      </c>
      <c r="D11" s="147">
        <v>1.6</v>
      </c>
    </row>
    <row r="12" spans="1:4" x14ac:dyDescent="0.2">
      <c r="A12" s="136">
        <v>41944</v>
      </c>
      <c r="B12" s="147">
        <v>109.639</v>
      </c>
      <c r="C12" s="147">
        <v>16.463000000000001</v>
      </c>
      <c r="D12" s="147">
        <v>1.3660000000000001</v>
      </c>
    </row>
    <row r="13" spans="1:4" x14ac:dyDescent="0.2">
      <c r="A13" s="136">
        <v>41974</v>
      </c>
      <c r="B13" s="147">
        <v>124.254</v>
      </c>
      <c r="C13" s="147">
        <v>22.831</v>
      </c>
      <c r="D13" s="147">
        <v>1.768</v>
      </c>
    </row>
    <row r="14" spans="1:4" x14ac:dyDescent="0.2">
      <c r="A14" s="136">
        <v>42005</v>
      </c>
      <c r="B14" s="147">
        <v>72.546000000000006</v>
      </c>
      <c r="C14" s="147">
        <v>17.504999999999999</v>
      </c>
      <c r="D14" s="147">
        <v>1.7709999999999999</v>
      </c>
    </row>
    <row r="15" spans="1:4" x14ac:dyDescent="0.2">
      <c r="A15" s="136">
        <v>42036</v>
      </c>
      <c r="B15" s="147">
        <v>77.736000000000004</v>
      </c>
      <c r="C15" s="147">
        <v>13.481</v>
      </c>
      <c r="D15" s="147">
        <v>1.349</v>
      </c>
    </row>
    <row r="16" spans="1:4" x14ac:dyDescent="0.2">
      <c r="A16" s="136">
        <v>42064</v>
      </c>
      <c r="B16" s="147">
        <v>97.673000000000002</v>
      </c>
      <c r="C16" s="147">
        <v>16.11</v>
      </c>
      <c r="D16" s="147">
        <v>1.1379999999999999</v>
      </c>
    </row>
    <row r="17" spans="1:4" x14ac:dyDescent="0.2">
      <c r="A17" s="136">
        <v>42095</v>
      </c>
      <c r="B17" s="147">
        <v>107.85</v>
      </c>
      <c r="C17" s="147">
        <v>15.733000000000001</v>
      </c>
      <c r="D17" s="147">
        <v>1.2470000000000001</v>
      </c>
    </row>
    <row r="18" spans="1:4" x14ac:dyDescent="0.2">
      <c r="A18" s="136">
        <v>42125</v>
      </c>
      <c r="B18" s="147">
        <v>116.94</v>
      </c>
      <c r="C18" s="147">
        <v>15.741</v>
      </c>
      <c r="D18" s="147">
        <v>1.508</v>
      </c>
    </row>
    <row r="19" spans="1:4" x14ac:dyDescent="0.2">
      <c r="A19" s="136">
        <v>42156</v>
      </c>
      <c r="B19" s="147">
        <v>121.824</v>
      </c>
      <c r="C19" s="147">
        <v>14.42</v>
      </c>
      <c r="D19" s="147">
        <v>1.145</v>
      </c>
    </row>
    <row r="20" spans="1:4" x14ac:dyDescent="0.2">
      <c r="A20" s="136">
        <v>42186</v>
      </c>
      <c r="B20" s="147">
        <v>121.07599999999999</v>
      </c>
      <c r="C20" s="147">
        <v>15.521000000000001</v>
      </c>
      <c r="D20" s="147">
        <v>1.571</v>
      </c>
    </row>
    <row r="21" spans="1:4" x14ac:dyDescent="0.2">
      <c r="A21" s="136">
        <v>42217</v>
      </c>
      <c r="B21" s="147">
        <v>123.176</v>
      </c>
      <c r="C21" s="147">
        <v>15.1</v>
      </c>
      <c r="D21" s="147">
        <v>1.5429999999999999</v>
      </c>
    </row>
    <row r="22" spans="1:4" x14ac:dyDescent="0.2">
      <c r="A22" s="136">
        <v>42248</v>
      </c>
      <c r="B22" s="147">
        <v>104.119</v>
      </c>
      <c r="C22" s="147">
        <v>13.846</v>
      </c>
      <c r="D22" s="147">
        <v>1.415</v>
      </c>
    </row>
    <row r="23" spans="1:4" x14ac:dyDescent="0.2">
      <c r="A23" s="136">
        <v>42278</v>
      </c>
      <c r="B23" s="147">
        <v>106.467</v>
      </c>
      <c r="C23" s="147">
        <v>13.414</v>
      </c>
      <c r="D23" s="147">
        <v>1.331</v>
      </c>
    </row>
    <row r="24" spans="1:4" x14ac:dyDescent="0.2">
      <c r="A24" s="136">
        <v>42309</v>
      </c>
      <c r="B24" s="147">
        <v>105.883</v>
      </c>
      <c r="C24" s="147">
        <v>12.656000000000001</v>
      </c>
      <c r="D24" s="147">
        <v>1.244</v>
      </c>
    </row>
    <row r="25" spans="1:4" x14ac:dyDescent="0.2">
      <c r="A25" s="136">
        <v>42339</v>
      </c>
      <c r="B25" s="147">
        <v>108.057</v>
      </c>
      <c r="C25" s="147">
        <v>13.321</v>
      </c>
      <c r="D25" s="147">
        <v>1.26</v>
      </c>
    </row>
    <row r="26" spans="1:4" x14ac:dyDescent="0.2">
      <c r="A26" s="136">
        <v>42370</v>
      </c>
      <c r="B26" s="147">
        <v>104.57599999999999</v>
      </c>
      <c r="C26" s="147">
        <v>11.757999999999999</v>
      </c>
      <c r="D26" s="147">
        <v>1.26</v>
      </c>
    </row>
    <row r="27" spans="1:4" x14ac:dyDescent="0.2">
      <c r="A27" s="136">
        <v>42401</v>
      </c>
      <c r="B27" s="147">
        <v>105.154</v>
      </c>
      <c r="C27" s="147">
        <v>7.3550000000000004</v>
      </c>
      <c r="D27" s="147">
        <v>0.76200000000000001</v>
      </c>
    </row>
    <row r="28" spans="1:4" x14ac:dyDescent="0.2">
      <c r="A28" s="136">
        <v>42430</v>
      </c>
      <c r="B28" s="147">
        <v>120.15900000000001</v>
      </c>
      <c r="C28" s="147">
        <v>17.925000000000001</v>
      </c>
      <c r="D28" s="147">
        <v>1.5149999999999999</v>
      </c>
    </row>
    <row r="29" spans="1:4" x14ac:dyDescent="0.2">
      <c r="A29" s="136">
        <v>42461</v>
      </c>
      <c r="B29" s="147">
        <v>119.95099999999999</v>
      </c>
      <c r="C29" s="147">
        <v>21.253</v>
      </c>
      <c r="D29" s="147">
        <v>1.1659999999999999</v>
      </c>
    </row>
    <row r="30" spans="1:4" x14ac:dyDescent="0.2">
      <c r="A30" s="136">
        <v>42491</v>
      </c>
      <c r="B30" s="147">
        <v>135.34399999999999</v>
      </c>
      <c r="C30" s="147">
        <v>21.933</v>
      </c>
      <c r="D30" s="147">
        <v>1.8280000000000001</v>
      </c>
    </row>
    <row r="31" spans="1:4" x14ac:dyDescent="0.2">
      <c r="A31" s="136">
        <v>42522</v>
      </c>
      <c r="B31" s="147">
        <v>134.62</v>
      </c>
      <c r="C31" s="147">
        <v>22.568999999999999</v>
      </c>
      <c r="D31" s="147">
        <v>1.766</v>
      </c>
    </row>
    <row r="32" spans="1:4" x14ac:dyDescent="0.2">
      <c r="A32" s="136">
        <v>42552</v>
      </c>
      <c r="B32" s="147">
        <v>139.887</v>
      </c>
      <c r="C32" s="147">
        <v>19.52</v>
      </c>
      <c r="D32" s="147">
        <v>1.643</v>
      </c>
    </row>
    <row r="33" spans="1:4" x14ac:dyDescent="0.2">
      <c r="A33" s="136">
        <v>42583</v>
      </c>
      <c r="B33" s="147">
        <v>142.17699999999999</v>
      </c>
      <c r="C33" s="147">
        <v>24.8</v>
      </c>
      <c r="D33" s="147">
        <v>2.121</v>
      </c>
    </row>
    <row r="34" spans="1:4" x14ac:dyDescent="0.2">
      <c r="A34" s="136">
        <v>42614</v>
      </c>
      <c r="B34" s="147">
        <v>134.667</v>
      </c>
      <c r="C34" s="147">
        <v>19.215</v>
      </c>
      <c r="D34" s="147">
        <v>1.901</v>
      </c>
    </row>
    <row r="35" spans="1:4" x14ac:dyDescent="0.2">
      <c r="A35" s="136">
        <v>42644</v>
      </c>
      <c r="B35" s="147">
        <v>144.19200000000001</v>
      </c>
      <c r="C35" s="147">
        <v>20.64</v>
      </c>
      <c r="D35" s="147">
        <v>1.9119999999999999</v>
      </c>
    </row>
    <row r="36" spans="1:4" x14ac:dyDescent="0.2">
      <c r="A36" s="136">
        <v>42675</v>
      </c>
      <c r="B36" s="147">
        <v>143.15199999999999</v>
      </c>
      <c r="C36" s="147">
        <v>27.361000000000001</v>
      </c>
      <c r="D36" s="147">
        <v>2.1389999999999998</v>
      </c>
    </row>
    <row r="37" spans="1:4" x14ac:dyDescent="0.2">
      <c r="A37" s="136">
        <v>42705</v>
      </c>
      <c r="B37" s="147">
        <v>143.851</v>
      </c>
      <c r="C37" s="147">
        <v>27.157</v>
      </c>
      <c r="D37" s="147">
        <v>3.133</v>
      </c>
    </row>
    <row r="38" spans="1:4" x14ac:dyDescent="0.2">
      <c r="A38" s="136">
        <v>42736</v>
      </c>
      <c r="B38" s="147">
        <v>92.757000000000005</v>
      </c>
      <c r="C38" s="147">
        <v>18.561</v>
      </c>
      <c r="D38" s="147">
        <v>2.1150000000000002</v>
      </c>
    </row>
    <row r="39" spans="1:4" x14ac:dyDescent="0.2">
      <c r="A39" s="136">
        <v>42767</v>
      </c>
      <c r="B39" s="147">
        <v>93.983000000000004</v>
      </c>
      <c r="C39" s="147">
        <v>21.042999999999999</v>
      </c>
      <c r="D39" s="147">
        <v>1.958</v>
      </c>
    </row>
    <row r="40" spans="1:4" x14ac:dyDescent="0.2">
      <c r="A40" s="136">
        <v>42795</v>
      </c>
      <c r="B40" s="147">
        <v>115.973</v>
      </c>
      <c r="C40" s="147">
        <v>15.856999999999999</v>
      </c>
      <c r="D40" s="147">
        <v>1.238</v>
      </c>
    </row>
    <row r="41" spans="1:4" x14ac:dyDescent="0.2">
      <c r="A41" s="136">
        <v>42826</v>
      </c>
      <c r="B41" s="147">
        <v>126.821</v>
      </c>
      <c r="C41" s="147">
        <v>20.402999999999999</v>
      </c>
      <c r="D41" s="147">
        <v>3.125</v>
      </c>
    </row>
    <row r="42" spans="1:4" x14ac:dyDescent="0.2">
      <c r="A42" s="136">
        <v>42856</v>
      </c>
      <c r="B42" s="147">
        <v>136.18100000000001</v>
      </c>
      <c r="C42" s="147">
        <v>24.393000000000001</v>
      </c>
      <c r="D42" s="147">
        <v>1.4910000000000001</v>
      </c>
    </row>
    <row r="43" spans="1:4" x14ac:dyDescent="0.2">
      <c r="A43" s="136">
        <v>42887</v>
      </c>
      <c r="B43" s="147">
        <v>140.459</v>
      </c>
      <c r="C43" s="147">
        <v>17.747</v>
      </c>
      <c r="D43" s="147">
        <v>1.5549999999999999</v>
      </c>
    </row>
    <row r="44" spans="1:4" x14ac:dyDescent="0.2">
      <c r="A44" s="136">
        <v>42917</v>
      </c>
      <c r="B44" s="147">
        <v>149.51300000000001</v>
      </c>
      <c r="C44" s="147">
        <v>19.652000000000001</v>
      </c>
      <c r="D44" s="147">
        <v>1.595</v>
      </c>
    </row>
    <row r="45" spans="1:4" x14ac:dyDescent="0.2">
      <c r="A45" s="136">
        <v>42948</v>
      </c>
      <c r="B45" s="147">
        <v>149.48599999999999</v>
      </c>
      <c r="C45" s="147">
        <v>24.672000000000001</v>
      </c>
      <c r="D45" s="147">
        <v>2.0139999999999998</v>
      </c>
    </row>
    <row r="46" spans="1:4" x14ac:dyDescent="0.2">
      <c r="A46" s="136">
        <v>42979</v>
      </c>
      <c r="B46" s="147">
        <v>147.29300000000001</v>
      </c>
      <c r="C46" s="147">
        <v>21.966999999999999</v>
      </c>
      <c r="D46" s="147">
        <v>2.0630000000000002</v>
      </c>
    </row>
    <row r="47" spans="1:4" x14ac:dyDescent="0.2">
      <c r="A47" s="136">
        <v>43009</v>
      </c>
      <c r="B47" s="147">
        <v>147.624</v>
      </c>
      <c r="C47" s="147">
        <v>25.347000000000001</v>
      </c>
      <c r="D47" s="147">
        <v>2.0289999999999999</v>
      </c>
    </row>
    <row r="48" spans="1:4" x14ac:dyDescent="0.2">
      <c r="A48" s="136">
        <v>43040</v>
      </c>
      <c r="B48" s="147">
        <v>147.97999999999999</v>
      </c>
      <c r="C48" s="147">
        <v>23.177</v>
      </c>
      <c r="D48" s="147">
        <v>2.0630000000000002</v>
      </c>
    </row>
    <row r="49" spans="1:4" x14ac:dyDescent="0.2">
      <c r="A49" s="136">
        <v>43070</v>
      </c>
      <c r="B49" s="147">
        <v>147.63900000000001</v>
      </c>
      <c r="C49" s="147">
        <v>25.524000000000001</v>
      </c>
      <c r="D49" s="147">
        <v>2.7080000000000002</v>
      </c>
    </row>
    <row r="50" spans="1:4" x14ac:dyDescent="0.2">
      <c r="A50" s="136">
        <v>43101</v>
      </c>
      <c r="B50" s="147">
        <v>125.52500000000001</v>
      </c>
      <c r="C50" s="147">
        <v>13.680999999999999</v>
      </c>
      <c r="D50" s="147">
        <v>2.1579999999999999</v>
      </c>
    </row>
    <row r="51" spans="1:4" x14ac:dyDescent="0.2">
      <c r="A51" s="136">
        <v>43132</v>
      </c>
      <c r="B51" s="147">
        <v>127.94499999999999</v>
      </c>
      <c r="C51" s="147">
        <v>21.605</v>
      </c>
      <c r="D51" s="147">
        <v>2.4329999999999998</v>
      </c>
    </row>
    <row r="52" spans="1:4" x14ac:dyDescent="0.2">
      <c r="A52" s="136">
        <v>43160</v>
      </c>
      <c r="B52" s="147">
        <v>149.12700000000001</v>
      </c>
      <c r="C52" s="147">
        <v>25.068000000000001</v>
      </c>
      <c r="D52" s="147">
        <v>2.7309999999999999</v>
      </c>
    </row>
    <row r="53" spans="1:4" x14ac:dyDescent="0.2">
      <c r="A53" s="136">
        <v>43191</v>
      </c>
      <c r="B53" s="147">
        <v>142.52500000000001</v>
      </c>
      <c r="C53" s="147">
        <v>25.751000000000001</v>
      </c>
      <c r="D53" s="147">
        <v>2.16</v>
      </c>
    </row>
    <row r="54" spans="1:4" x14ac:dyDescent="0.2">
      <c r="A54" s="136">
        <v>43221</v>
      </c>
      <c r="B54" s="147">
        <v>151.31200000000001</v>
      </c>
      <c r="C54" s="147">
        <v>21.507999999999999</v>
      </c>
      <c r="D54" s="147">
        <v>2.0289999999999999</v>
      </c>
    </row>
    <row r="55" spans="1:4" x14ac:dyDescent="0.2">
      <c r="A55" s="136">
        <v>43252</v>
      </c>
      <c r="B55" s="147">
        <v>158.86699999999999</v>
      </c>
      <c r="C55" s="147">
        <v>12.384</v>
      </c>
      <c r="D55" s="147">
        <v>0.47499999999999998</v>
      </c>
    </row>
    <row r="56" spans="1:4" x14ac:dyDescent="0.2">
      <c r="A56" s="136">
        <v>43282</v>
      </c>
      <c r="B56" s="147">
        <v>166.33099999999999</v>
      </c>
      <c r="C56" s="147">
        <v>10.554</v>
      </c>
      <c r="D56" s="147">
        <v>0.14399999999999999</v>
      </c>
    </row>
    <row r="57" spans="1:4" x14ac:dyDescent="0.2">
      <c r="A57" s="136">
        <v>43313</v>
      </c>
      <c r="B57" s="147">
        <v>172.28</v>
      </c>
      <c r="C57" s="147">
        <v>16.024999999999999</v>
      </c>
      <c r="D57" s="147">
        <v>1.8520000000000001</v>
      </c>
    </row>
    <row r="58" spans="1:4" x14ac:dyDescent="0.2">
      <c r="A58" s="136">
        <v>43344</v>
      </c>
      <c r="B58" s="147">
        <v>164.39599999999999</v>
      </c>
      <c r="C58" s="147">
        <v>32.247999999999998</v>
      </c>
      <c r="D58" s="147">
        <v>2.9820000000000002</v>
      </c>
    </row>
    <row r="59" spans="1:4" x14ac:dyDescent="0.2">
      <c r="A59" s="136">
        <v>43374</v>
      </c>
      <c r="B59" s="147">
        <v>170.952</v>
      </c>
      <c r="C59" s="147">
        <v>39.005000000000003</v>
      </c>
      <c r="D59" s="147">
        <v>2.544</v>
      </c>
    </row>
    <row r="60" spans="1:4" x14ac:dyDescent="0.2">
      <c r="A60" s="136">
        <v>43405</v>
      </c>
      <c r="B60" s="147">
        <v>160.273</v>
      </c>
      <c r="C60" s="147">
        <v>40.325000000000003</v>
      </c>
      <c r="D60" s="147">
        <v>2.72</v>
      </c>
    </row>
    <row r="61" spans="1:4" x14ac:dyDescent="0.2">
      <c r="A61" s="136">
        <v>43435</v>
      </c>
      <c r="B61" s="147">
        <v>167.785</v>
      </c>
      <c r="C61" s="147">
        <v>47.33</v>
      </c>
      <c r="D61" s="147">
        <v>3.4329999999999998</v>
      </c>
    </row>
    <row r="62" spans="1:4" x14ac:dyDescent="0.2">
      <c r="A62" s="136">
        <v>43466</v>
      </c>
      <c r="B62" s="147">
        <v>143.917</v>
      </c>
      <c r="C62" s="147">
        <v>36.487000000000002</v>
      </c>
      <c r="D62" s="147">
        <v>2.4940000000000002</v>
      </c>
    </row>
    <row r="63" spans="1:4" x14ac:dyDescent="0.2">
      <c r="A63" s="136">
        <v>43497</v>
      </c>
      <c r="B63" s="147">
        <v>130.529</v>
      </c>
      <c r="C63" s="147">
        <v>40.173999999999999</v>
      </c>
      <c r="D63" s="147">
        <v>2.7759999999999998</v>
      </c>
    </row>
    <row r="64" spans="1:4" x14ac:dyDescent="0.2">
      <c r="A64" s="136">
        <v>43525</v>
      </c>
      <c r="B64" s="147">
        <v>140.82499999999999</v>
      </c>
      <c r="C64" s="147">
        <v>35.74</v>
      </c>
      <c r="D64" s="147">
        <v>3.3780000000000001</v>
      </c>
    </row>
    <row r="65" spans="1:4" x14ac:dyDescent="0.2">
      <c r="A65" s="136">
        <v>43556</v>
      </c>
      <c r="B65" s="147">
        <v>152.149</v>
      </c>
      <c r="C65" s="147">
        <v>38.557000000000002</v>
      </c>
      <c r="D65" s="147">
        <v>2.7810000000000001</v>
      </c>
    </row>
    <row r="66" spans="1:4" x14ac:dyDescent="0.2">
      <c r="A66" s="136">
        <v>43586</v>
      </c>
      <c r="B66" s="147">
        <v>154.59</v>
      </c>
      <c r="C66" s="147">
        <v>40.383000000000003</v>
      </c>
      <c r="D66" s="147">
        <v>3.3889999999999998</v>
      </c>
    </row>
    <row r="67" spans="1:4" x14ac:dyDescent="0.2">
      <c r="A67" s="136">
        <v>43617</v>
      </c>
      <c r="B67" s="147">
        <v>141.553</v>
      </c>
      <c r="C67" s="147">
        <v>39.761000000000003</v>
      </c>
      <c r="D67" s="147">
        <v>2.0230000000000001</v>
      </c>
    </row>
    <row r="68" spans="1:4" x14ac:dyDescent="0.2">
      <c r="A68" s="136">
        <v>43647</v>
      </c>
      <c r="B68" s="147">
        <v>158.61000000000001</v>
      </c>
      <c r="C68" s="147">
        <v>46.281999999999996</v>
      </c>
      <c r="D68" s="147">
        <v>2.4430000000000001</v>
      </c>
    </row>
    <row r="69" spans="1:4" x14ac:dyDescent="0.2">
      <c r="A69" s="136">
        <v>43678</v>
      </c>
      <c r="B69" s="147">
        <v>155.898</v>
      </c>
      <c r="C69" s="147">
        <v>30.18</v>
      </c>
      <c r="D69" s="147">
        <v>1.4430000000000001</v>
      </c>
    </row>
    <row r="70" spans="1:4" x14ac:dyDescent="0.2">
      <c r="A70" s="136">
        <v>43709</v>
      </c>
      <c r="B70" s="147">
        <v>141.846</v>
      </c>
      <c r="C70" s="147">
        <v>40.692</v>
      </c>
      <c r="D70" s="147">
        <v>2.915</v>
      </c>
    </row>
    <row r="71" spans="1:4" x14ac:dyDescent="0.2">
      <c r="A71" s="136">
        <v>43739</v>
      </c>
      <c r="B71" s="147">
        <v>144.31399999999999</v>
      </c>
      <c r="C71" s="147">
        <v>48.569000000000003</v>
      </c>
      <c r="D71" s="147">
        <v>2.3490000000000002</v>
      </c>
    </row>
    <row r="72" spans="1:4" x14ac:dyDescent="0.2">
      <c r="A72" s="136">
        <v>43770</v>
      </c>
      <c r="B72" s="147">
        <v>127.42400000000001</v>
      </c>
      <c r="C72" s="147">
        <v>42.389000000000003</v>
      </c>
      <c r="D72" s="147">
        <v>2.8690000000000002</v>
      </c>
    </row>
    <row r="73" spans="1:4" x14ac:dyDescent="0.2">
      <c r="A73" s="136">
        <v>43800</v>
      </c>
      <c r="B73" s="147">
        <v>132.85</v>
      </c>
      <c r="C73" s="147">
        <v>52.795999999999999</v>
      </c>
      <c r="D73" s="147">
        <v>4.367</v>
      </c>
    </row>
    <row r="74" spans="1:4" x14ac:dyDescent="0.2">
      <c r="A74" s="136">
        <v>43831</v>
      </c>
      <c r="B74" s="147">
        <v>134.233</v>
      </c>
      <c r="C74" s="147">
        <v>41.856999999999999</v>
      </c>
      <c r="D74" s="147">
        <v>2.3279999999999998</v>
      </c>
    </row>
    <row r="75" spans="1:4" x14ac:dyDescent="0.2">
      <c r="A75" s="136">
        <v>43862</v>
      </c>
      <c r="B75" s="147">
        <v>131.82900000000001</v>
      </c>
      <c r="C75" s="147">
        <v>37.301000000000002</v>
      </c>
      <c r="D75" s="147">
        <v>2.3069999999999999</v>
      </c>
    </row>
    <row r="76" spans="1:4" x14ac:dyDescent="0.2">
      <c r="A76" s="136">
        <v>43891</v>
      </c>
      <c r="B76" s="147">
        <v>150.94499999999999</v>
      </c>
      <c r="C76" s="147">
        <v>45.226999999999997</v>
      </c>
      <c r="D76" s="147">
        <v>3.1549999999999998</v>
      </c>
    </row>
    <row r="77" spans="1:4" x14ac:dyDescent="0.2">
      <c r="A77" s="136">
        <v>43922</v>
      </c>
      <c r="B77" s="147">
        <v>143.72900000000001</v>
      </c>
      <c r="C77" s="147">
        <v>38.639000000000003</v>
      </c>
      <c r="D77" s="147">
        <v>3.21</v>
      </c>
    </row>
    <row r="78" spans="1:4" x14ac:dyDescent="0.2">
      <c r="A78" s="136">
        <v>43952</v>
      </c>
      <c r="B78" s="147">
        <v>152.47999999999999</v>
      </c>
      <c r="C78" s="147">
        <v>46.420999999999999</v>
      </c>
      <c r="D78" s="147">
        <v>2.3650000000000002</v>
      </c>
    </row>
    <row r="79" spans="1:4" x14ac:dyDescent="0.2">
      <c r="A79" s="136">
        <v>43983</v>
      </c>
      <c r="B79" s="147">
        <v>150.80000000000001</v>
      </c>
      <c r="C79" s="147">
        <v>53.207999999999998</v>
      </c>
      <c r="D79" s="147">
        <v>2.532</v>
      </c>
    </row>
    <row r="80" spans="1:4" x14ac:dyDescent="0.2">
      <c r="A80" s="136">
        <v>44013</v>
      </c>
      <c r="B80" s="147">
        <v>161.66900000000001</v>
      </c>
      <c r="C80" s="147">
        <v>46.683999999999997</v>
      </c>
      <c r="D80" s="147">
        <v>4.1269999999999998</v>
      </c>
    </row>
    <row r="81" spans="1:4" x14ac:dyDescent="0.2">
      <c r="A81" s="136">
        <v>44044</v>
      </c>
      <c r="B81" s="147">
        <v>162.60900000000001</v>
      </c>
      <c r="C81" s="147">
        <v>43.953000000000003</v>
      </c>
      <c r="D81" s="147">
        <v>2.4769999999999999</v>
      </c>
    </row>
    <row r="82" spans="1:4" x14ac:dyDescent="0.2">
      <c r="A82" s="136">
        <v>44075</v>
      </c>
      <c r="B82" s="147">
        <v>159.161</v>
      </c>
      <c r="C82" s="147">
        <v>48.113</v>
      </c>
      <c r="D82" s="147">
        <v>3.0649999999999999</v>
      </c>
    </row>
    <row r="83" spans="1:4" x14ac:dyDescent="0.2">
      <c r="A83" s="136">
        <v>44105</v>
      </c>
      <c r="B83" s="147">
        <v>157.203</v>
      </c>
      <c r="C83" s="147">
        <v>25.23</v>
      </c>
      <c r="D83" s="147">
        <v>1.2090000000000001</v>
      </c>
    </row>
    <row r="84" spans="1:4" x14ac:dyDescent="0.2">
      <c r="A84" s="136">
        <v>44136</v>
      </c>
      <c r="B84" s="147">
        <v>152.06700000000001</v>
      </c>
      <c r="C84" s="147">
        <v>49.054000000000002</v>
      </c>
      <c r="D84" s="147">
        <v>2.6030000000000002</v>
      </c>
    </row>
    <row r="85" spans="1:4" x14ac:dyDescent="0.2">
      <c r="A85" s="136">
        <v>44166</v>
      </c>
      <c r="B85" s="147">
        <v>157.97399999999999</v>
      </c>
      <c r="C85" s="147">
        <v>57.808</v>
      </c>
      <c r="D85" s="147">
        <v>2.5910000000000002</v>
      </c>
    </row>
    <row r="86" spans="1:4" x14ac:dyDescent="0.2">
      <c r="A86" s="136">
        <v>44197</v>
      </c>
      <c r="B86" s="147">
        <v>130.83000000000001</v>
      </c>
      <c r="C86" s="147">
        <v>56.07</v>
      </c>
      <c r="D86" s="147">
        <v>7.6020000000000003</v>
      </c>
    </row>
    <row r="87" spans="1:4" x14ac:dyDescent="0.2">
      <c r="A87" s="136">
        <v>44228</v>
      </c>
      <c r="B87" s="147">
        <v>101.05200000000001</v>
      </c>
      <c r="C87" s="147">
        <v>48.552</v>
      </c>
      <c r="D87" s="147">
        <v>7.2240000000000002</v>
      </c>
    </row>
    <row r="88" spans="1:4" x14ac:dyDescent="0.2">
      <c r="A88" s="136">
        <v>44256</v>
      </c>
      <c r="B88" s="147">
        <v>141.6</v>
      </c>
      <c r="C88" s="147">
        <v>52.503999999999998</v>
      </c>
      <c r="D88" s="147">
        <v>6.9219999999999997</v>
      </c>
    </row>
    <row r="89" spans="1:4" x14ac:dyDescent="0.2">
      <c r="A89" s="136">
        <v>44287</v>
      </c>
      <c r="B89" s="147">
        <v>134.80799999999999</v>
      </c>
      <c r="C89" s="147">
        <v>50.622</v>
      </c>
      <c r="D89" s="147">
        <v>5.8769999999999998</v>
      </c>
    </row>
    <row r="90" spans="1:4" x14ac:dyDescent="0.2">
      <c r="A90" s="136">
        <v>44317</v>
      </c>
      <c r="B90" s="147">
        <v>148.56</v>
      </c>
      <c r="C90" s="147">
        <v>63.140999999999998</v>
      </c>
      <c r="D90" s="147">
        <v>5.3129999999999997</v>
      </c>
    </row>
    <row r="91" spans="1:4" x14ac:dyDescent="0.2">
      <c r="A91" s="136">
        <v>44348</v>
      </c>
      <c r="B91" s="147">
        <v>136.119</v>
      </c>
      <c r="C91" s="147">
        <v>55.237000000000002</v>
      </c>
      <c r="D91" s="147">
        <v>3.8250000000000002</v>
      </c>
    </row>
    <row r="92" spans="1:4" x14ac:dyDescent="0.2">
      <c r="A92" s="136">
        <v>44378</v>
      </c>
      <c r="B92" s="147">
        <v>140.125</v>
      </c>
      <c r="C92" s="147">
        <v>71.647999999999996</v>
      </c>
      <c r="D92" s="147">
        <v>5.2450000000000001</v>
      </c>
    </row>
    <row r="93" spans="1:4" x14ac:dyDescent="0.2">
      <c r="A93" s="136">
        <v>44409</v>
      </c>
      <c r="B93" s="147">
        <v>139.65600000000001</v>
      </c>
      <c r="C93" s="147">
        <v>70.513999999999996</v>
      </c>
      <c r="D93" s="147">
        <v>5.84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17090-1F09-47B1-BC37-ACEAC10B6A08}">
  <dimension ref="A1:C93"/>
  <sheetViews>
    <sheetView zoomScaleNormal="100" workbookViewId="0"/>
  </sheetViews>
  <sheetFormatPr defaultColWidth="9.140625" defaultRowHeight="12.75" x14ac:dyDescent="0.2"/>
  <cols>
    <col min="1" max="1" width="7.140625" bestFit="1" customWidth="1"/>
    <col min="2" max="2" width="9.28515625" bestFit="1" customWidth="1"/>
    <col min="3" max="3" width="11.140625" customWidth="1"/>
  </cols>
  <sheetData>
    <row r="1" spans="1:3" ht="38.25" x14ac:dyDescent="0.2">
      <c r="A1" s="146" t="s">
        <v>159</v>
      </c>
      <c r="B1" s="146" t="s">
        <v>160</v>
      </c>
      <c r="C1" s="140" t="s">
        <v>165</v>
      </c>
    </row>
    <row r="2" spans="1:3" x14ac:dyDescent="0.2">
      <c r="A2" s="136">
        <v>41640</v>
      </c>
      <c r="B2" s="148">
        <v>86.566344857214474</v>
      </c>
      <c r="C2" s="148">
        <v>13.433655142785527</v>
      </c>
    </row>
    <row r="3" spans="1:3" x14ac:dyDescent="0.2">
      <c r="A3" s="136">
        <v>41671</v>
      </c>
      <c r="B3" s="148">
        <v>85.158624726994347</v>
      </c>
      <c r="C3" s="148">
        <v>14.841375273005653</v>
      </c>
    </row>
    <row r="4" spans="1:3" x14ac:dyDescent="0.2">
      <c r="A4" s="136">
        <v>41699</v>
      </c>
      <c r="B4" s="148">
        <v>86.138373082735498</v>
      </c>
      <c r="C4" s="148">
        <v>13.861626917264502</v>
      </c>
    </row>
    <row r="5" spans="1:3" x14ac:dyDescent="0.2">
      <c r="A5" s="136">
        <v>41730</v>
      </c>
      <c r="B5" s="148">
        <v>86.501111934766499</v>
      </c>
      <c r="C5" s="148">
        <v>13.498888065233505</v>
      </c>
    </row>
    <row r="6" spans="1:3" x14ac:dyDescent="0.2">
      <c r="A6" s="136">
        <v>41760</v>
      </c>
      <c r="B6" s="148">
        <v>86.105126751437595</v>
      </c>
      <c r="C6" s="148">
        <v>13.894873248562401</v>
      </c>
    </row>
    <row r="7" spans="1:3" x14ac:dyDescent="0.2">
      <c r="A7" s="136">
        <v>41791</v>
      </c>
      <c r="B7" s="148">
        <v>87.001817270334641</v>
      </c>
      <c r="C7" s="148">
        <v>12.998182729665364</v>
      </c>
    </row>
    <row r="8" spans="1:3" x14ac:dyDescent="0.2">
      <c r="A8" s="136">
        <v>41821</v>
      </c>
      <c r="B8" s="148">
        <v>89.080826386371882</v>
      </c>
      <c r="C8" s="148">
        <v>10.91917361362812</v>
      </c>
    </row>
    <row r="9" spans="1:3" x14ac:dyDescent="0.2">
      <c r="A9" s="136">
        <v>41852</v>
      </c>
      <c r="B9" s="148">
        <v>98.307170231275023</v>
      </c>
      <c r="C9" s="148">
        <v>1.6928297687249794</v>
      </c>
    </row>
    <row r="10" spans="1:3" x14ac:dyDescent="0.2">
      <c r="A10" s="136">
        <v>41883</v>
      </c>
      <c r="B10" s="148">
        <v>94.563751256877069</v>
      </c>
      <c r="C10" s="148">
        <v>5.4362487431229294</v>
      </c>
    </row>
    <row r="11" spans="1:3" x14ac:dyDescent="0.2">
      <c r="A11" s="136">
        <v>41913</v>
      </c>
      <c r="B11" s="148">
        <v>88.283683870504632</v>
      </c>
      <c r="C11" s="148">
        <v>11.716316129495375</v>
      </c>
    </row>
    <row r="12" spans="1:3" x14ac:dyDescent="0.2">
      <c r="A12" s="136">
        <v>41944</v>
      </c>
      <c r="B12" s="148">
        <v>86.012960115479956</v>
      </c>
      <c r="C12" s="148">
        <v>13.987039884520048</v>
      </c>
    </row>
    <row r="13" spans="1:3" x14ac:dyDescent="0.2">
      <c r="A13" s="136">
        <v>41974</v>
      </c>
      <c r="B13" s="148">
        <v>83.474300148468615</v>
      </c>
      <c r="C13" s="148">
        <v>16.525699851531385</v>
      </c>
    </row>
    <row r="14" spans="1:3" x14ac:dyDescent="0.2">
      <c r="A14" s="136">
        <v>42005</v>
      </c>
      <c r="B14" s="148">
        <v>79.007209601184897</v>
      </c>
      <c r="C14" s="148">
        <v>20.992790398815096</v>
      </c>
    </row>
    <row r="15" spans="1:3" x14ac:dyDescent="0.2">
      <c r="A15" s="136">
        <v>42036</v>
      </c>
      <c r="B15" s="148">
        <v>83.978998768446303</v>
      </c>
      <c r="C15" s="148">
        <v>16.021001231553701</v>
      </c>
    </row>
    <row r="16" spans="1:3" x14ac:dyDescent="0.2">
      <c r="A16" s="136">
        <v>42064</v>
      </c>
      <c r="B16" s="148">
        <v>84.991428894631966</v>
      </c>
      <c r="C16" s="148">
        <v>15.008571105368041</v>
      </c>
    </row>
    <row r="17" spans="1:3" x14ac:dyDescent="0.2">
      <c r="A17" s="136">
        <v>42095</v>
      </c>
      <c r="B17" s="148">
        <v>86.397500600817111</v>
      </c>
      <c r="C17" s="148">
        <v>13.602499399182888</v>
      </c>
    </row>
    <row r="18" spans="1:3" x14ac:dyDescent="0.2">
      <c r="A18" s="136">
        <v>42125</v>
      </c>
      <c r="B18" s="148">
        <v>87.145742199435134</v>
      </c>
      <c r="C18" s="148">
        <v>12.854257800564872</v>
      </c>
    </row>
    <row r="19" spans="1:3" x14ac:dyDescent="0.2">
      <c r="A19" s="136">
        <v>42156</v>
      </c>
      <c r="B19" s="148">
        <v>88.670854289644723</v>
      </c>
      <c r="C19" s="148">
        <v>11.329145710355281</v>
      </c>
    </row>
    <row r="20" spans="1:3" x14ac:dyDescent="0.2">
      <c r="A20" s="136">
        <v>42186</v>
      </c>
      <c r="B20" s="148">
        <v>87.629552428927113</v>
      </c>
      <c r="C20" s="148">
        <v>12.370447571072884</v>
      </c>
    </row>
    <row r="21" spans="1:3" x14ac:dyDescent="0.2">
      <c r="A21" s="136">
        <v>42217</v>
      </c>
      <c r="B21" s="148">
        <v>88.096753660089107</v>
      </c>
      <c r="C21" s="148">
        <v>11.90324633991089</v>
      </c>
    </row>
    <row r="22" spans="1:3" x14ac:dyDescent="0.2">
      <c r="A22" s="136">
        <v>42248</v>
      </c>
      <c r="B22" s="148">
        <v>87.216451666945886</v>
      </c>
      <c r="C22" s="148">
        <v>12.783548333054117</v>
      </c>
    </row>
    <row r="23" spans="1:3" x14ac:dyDescent="0.2">
      <c r="A23" s="136">
        <v>42278</v>
      </c>
      <c r="B23" s="148">
        <v>87.83536283536283</v>
      </c>
      <c r="C23" s="148">
        <v>12.16463716463717</v>
      </c>
    </row>
    <row r="24" spans="1:3" x14ac:dyDescent="0.2">
      <c r="A24" s="136">
        <v>42309</v>
      </c>
      <c r="B24" s="148">
        <v>88.3956821919638</v>
      </c>
      <c r="C24" s="148">
        <v>11.604317808036201</v>
      </c>
    </row>
    <row r="25" spans="1:3" x14ac:dyDescent="0.2">
      <c r="A25" s="136">
        <v>42339</v>
      </c>
      <c r="B25" s="148">
        <v>88.110536701511762</v>
      </c>
      <c r="C25" s="148">
        <v>11.889463298488234</v>
      </c>
    </row>
    <row r="26" spans="1:3" x14ac:dyDescent="0.2">
      <c r="A26" s="136">
        <v>42370</v>
      </c>
      <c r="B26" s="148">
        <v>88.929707297991385</v>
      </c>
      <c r="C26" s="148">
        <v>11.070292702008611</v>
      </c>
    </row>
    <row r="27" spans="1:3" x14ac:dyDescent="0.2">
      <c r="A27" s="136">
        <v>42401</v>
      </c>
      <c r="B27" s="148">
        <v>92.833999876402601</v>
      </c>
      <c r="C27" s="148">
        <v>7.166000123597394</v>
      </c>
    </row>
    <row r="28" spans="1:3" x14ac:dyDescent="0.2">
      <c r="A28" s="136">
        <v>42430</v>
      </c>
      <c r="B28" s="148">
        <v>86.074398813745091</v>
      </c>
      <c r="C28" s="148">
        <v>13.925601186254911</v>
      </c>
    </row>
    <row r="29" spans="1:3" x14ac:dyDescent="0.2">
      <c r="A29" s="136">
        <v>42461</v>
      </c>
      <c r="B29" s="148">
        <v>84.253002739341142</v>
      </c>
      <c r="C29" s="148">
        <v>15.746997260658857</v>
      </c>
    </row>
    <row r="30" spans="1:3" x14ac:dyDescent="0.2">
      <c r="A30" s="136">
        <v>42491</v>
      </c>
      <c r="B30" s="148">
        <v>85.065837025863416</v>
      </c>
      <c r="C30" s="148">
        <v>14.934162974136578</v>
      </c>
    </row>
    <row r="31" spans="1:3" x14ac:dyDescent="0.2">
      <c r="A31" s="136">
        <v>42522</v>
      </c>
      <c r="B31" s="148">
        <v>84.690635714510407</v>
      </c>
      <c r="C31" s="148">
        <v>15.30936428548959</v>
      </c>
    </row>
    <row r="32" spans="1:3" x14ac:dyDescent="0.2">
      <c r="A32" s="136">
        <v>42552</v>
      </c>
      <c r="B32" s="148">
        <v>86.859360447066123</v>
      </c>
      <c r="C32" s="148">
        <v>13.140639552933875</v>
      </c>
    </row>
    <row r="33" spans="1:3" x14ac:dyDescent="0.2">
      <c r="A33" s="136">
        <v>42583</v>
      </c>
      <c r="B33" s="148">
        <v>84.079646122366896</v>
      </c>
      <c r="C33" s="148">
        <v>15.920353877633097</v>
      </c>
    </row>
    <row r="34" spans="1:3" x14ac:dyDescent="0.2">
      <c r="A34" s="136">
        <v>42614</v>
      </c>
      <c r="B34" s="148">
        <v>86.445247555895051</v>
      </c>
      <c r="C34" s="148">
        <v>13.554752444104945</v>
      </c>
    </row>
    <row r="35" spans="1:3" x14ac:dyDescent="0.2">
      <c r="A35" s="136">
        <v>42644</v>
      </c>
      <c r="B35" s="148">
        <v>86.475075564937882</v>
      </c>
      <c r="C35" s="148">
        <v>13.524924435062125</v>
      </c>
    </row>
    <row r="36" spans="1:3" x14ac:dyDescent="0.2">
      <c r="A36" s="136">
        <v>42675</v>
      </c>
      <c r="B36" s="148">
        <v>82.913606561175072</v>
      </c>
      <c r="C36" s="148">
        <v>17.086393438824921</v>
      </c>
    </row>
    <row r="37" spans="1:3" x14ac:dyDescent="0.2">
      <c r="A37" s="136">
        <v>42705</v>
      </c>
      <c r="B37" s="148">
        <v>82.606049121114495</v>
      </c>
      <c r="C37" s="148">
        <v>17.393950878885512</v>
      </c>
    </row>
    <row r="38" spans="1:3" x14ac:dyDescent="0.2">
      <c r="A38" s="136">
        <v>42736</v>
      </c>
      <c r="B38" s="148">
        <v>81.772500066118326</v>
      </c>
      <c r="C38" s="148">
        <v>18.227499933881674</v>
      </c>
    </row>
    <row r="39" spans="1:3" x14ac:dyDescent="0.2">
      <c r="A39" s="136">
        <v>42767</v>
      </c>
      <c r="B39" s="148">
        <v>80.338336866580036</v>
      </c>
      <c r="C39" s="148">
        <v>19.66166313341996</v>
      </c>
    </row>
    <row r="40" spans="1:3" x14ac:dyDescent="0.2">
      <c r="A40" s="136">
        <v>42795</v>
      </c>
      <c r="B40" s="148">
        <v>87.153184837827297</v>
      </c>
      <c r="C40" s="148">
        <v>12.846815162172708</v>
      </c>
    </row>
    <row r="41" spans="1:3" x14ac:dyDescent="0.2">
      <c r="A41" s="136">
        <v>42826</v>
      </c>
      <c r="B41" s="148">
        <v>84.35107649535415</v>
      </c>
      <c r="C41" s="148">
        <v>15.64892350464585</v>
      </c>
    </row>
    <row r="42" spans="1:3" x14ac:dyDescent="0.2">
      <c r="A42" s="136">
        <v>42856</v>
      </c>
      <c r="B42" s="148">
        <v>84.028630487767259</v>
      </c>
      <c r="C42" s="148">
        <v>15.971369512232748</v>
      </c>
    </row>
    <row r="43" spans="1:3" x14ac:dyDescent="0.2">
      <c r="A43" s="136">
        <v>42887</v>
      </c>
      <c r="B43" s="148">
        <v>87.918202815455572</v>
      </c>
      <c r="C43" s="148">
        <v>12.081797184544429</v>
      </c>
    </row>
    <row r="44" spans="1:3" x14ac:dyDescent="0.2">
      <c r="A44" s="136">
        <v>42917</v>
      </c>
      <c r="B44" s="148">
        <v>87.557390489576008</v>
      </c>
      <c r="C44" s="148">
        <v>12.442609510423996</v>
      </c>
    </row>
    <row r="45" spans="1:3" x14ac:dyDescent="0.2">
      <c r="A45" s="136">
        <v>42948</v>
      </c>
      <c r="B45" s="148">
        <v>84.852303430738147</v>
      </c>
      <c r="C45" s="148">
        <v>15.147696569261859</v>
      </c>
    </row>
    <row r="46" spans="1:3" x14ac:dyDescent="0.2">
      <c r="A46" s="136">
        <v>42979</v>
      </c>
      <c r="B46" s="148">
        <v>85.973862236827529</v>
      </c>
      <c r="C46" s="148">
        <v>14.026137763172475</v>
      </c>
    </row>
    <row r="47" spans="1:3" x14ac:dyDescent="0.2">
      <c r="A47" s="136">
        <v>43009</v>
      </c>
      <c r="B47" s="148">
        <v>84.356571428571428</v>
      </c>
      <c r="C47" s="148">
        <v>15.643428571428576</v>
      </c>
    </row>
    <row r="48" spans="1:3" x14ac:dyDescent="0.2">
      <c r="A48" s="136">
        <v>43040</v>
      </c>
      <c r="B48" s="148">
        <v>85.428934303198261</v>
      </c>
      <c r="C48" s="148">
        <v>14.571065696801744</v>
      </c>
    </row>
    <row r="49" spans="1:3" x14ac:dyDescent="0.2">
      <c r="A49" s="136">
        <v>43070</v>
      </c>
      <c r="B49" s="148">
        <v>83.94732502800349</v>
      </c>
      <c r="C49" s="148">
        <v>16.052674971996517</v>
      </c>
    </row>
    <row r="50" spans="1:3" x14ac:dyDescent="0.2">
      <c r="A50" s="136">
        <v>43101</v>
      </c>
      <c r="B50" s="148">
        <v>88.795591522594151</v>
      </c>
      <c r="C50" s="148">
        <v>11.204408477405847</v>
      </c>
    </row>
    <row r="51" spans="1:3" x14ac:dyDescent="0.2">
      <c r="A51" s="136">
        <v>43132</v>
      </c>
      <c r="B51" s="148">
        <v>84.183757393919066</v>
      </c>
      <c r="C51" s="148">
        <v>15.816242606080932</v>
      </c>
    </row>
    <row r="52" spans="1:3" x14ac:dyDescent="0.2">
      <c r="A52" s="136">
        <v>43160</v>
      </c>
      <c r="B52" s="148">
        <v>84.287781332308427</v>
      </c>
      <c r="C52" s="148">
        <v>15.71221866769158</v>
      </c>
    </row>
    <row r="53" spans="1:3" x14ac:dyDescent="0.2">
      <c r="A53" s="136">
        <v>43191</v>
      </c>
      <c r="B53" s="148">
        <v>83.623764932291294</v>
      </c>
      <c r="C53" s="148">
        <v>16.376235067708699</v>
      </c>
    </row>
    <row r="54" spans="1:3" x14ac:dyDescent="0.2">
      <c r="A54" s="136">
        <v>43221</v>
      </c>
      <c r="B54" s="148">
        <v>86.538670509982893</v>
      </c>
      <c r="C54" s="148">
        <v>13.461329490017103</v>
      </c>
    </row>
    <row r="55" spans="1:3" x14ac:dyDescent="0.2">
      <c r="A55" s="136">
        <v>43252</v>
      </c>
      <c r="B55" s="148">
        <v>92.511908505409792</v>
      </c>
      <c r="C55" s="148">
        <v>7.4880914945902095</v>
      </c>
    </row>
    <row r="56" spans="1:3" x14ac:dyDescent="0.2">
      <c r="A56" s="136">
        <v>43282</v>
      </c>
      <c r="B56" s="148">
        <v>93.956922312163542</v>
      </c>
      <c r="C56" s="148">
        <v>6.0430776878364618</v>
      </c>
    </row>
    <row r="57" spans="1:3" x14ac:dyDescent="0.2">
      <c r="A57" s="136">
        <v>43313</v>
      </c>
      <c r="B57" s="148">
        <v>90.598820974247602</v>
      </c>
      <c r="C57" s="148">
        <v>9.4011790257524037</v>
      </c>
    </row>
    <row r="58" spans="1:3" x14ac:dyDescent="0.2">
      <c r="A58" s="136">
        <v>43344</v>
      </c>
      <c r="B58" s="148">
        <v>82.351998236702642</v>
      </c>
      <c r="C58" s="148">
        <v>17.648001763297362</v>
      </c>
    </row>
    <row r="59" spans="1:3" x14ac:dyDescent="0.2">
      <c r="A59" s="136">
        <v>43374</v>
      </c>
      <c r="B59" s="148">
        <v>80.447621422958008</v>
      </c>
      <c r="C59" s="148">
        <v>19.552378577041996</v>
      </c>
    </row>
    <row r="60" spans="1:3" x14ac:dyDescent="0.2">
      <c r="A60" s="136">
        <v>43405</v>
      </c>
      <c r="B60" s="148">
        <v>78.828731346954029</v>
      </c>
      <c r="C60" s="148">
        <v>21.171268653045971</v>
      </c>
    </row>
    <row r="61" spans="1:3" x14ac:dyDescent="0.2">
      <c r="A61" s="136">
        <v>43435</v>
      </c>
      <c r="B61" s="148">
        <v>76.772608305726891</v>
      </c>
      <c r="C61" s="148">
        <v>23.227391694273113</v>
      </c>
    </row>
    <row r="62" spans="1:3" x14ac:dyDescent="0.2">
      <c r="A62" s="136">
        <v>43466</v>
      </c>
      <c r="B62" s="148">
        <v>78.68702774223884</v>
      </c>
      <c r="C62" s="148">
        <v>21.312972257761153</v>
      </c>
    </row>
    <row r="63" spans="1:3" x14ac:dyDescent="0.2">
      <c r="A63" s="136">
        <v>43497</v>
      </c>
      <c r="B63" s="148">
        <v>75.241960121974401</v>
      </c>
      <c r="C63" s="148">
        <v>24.758039878025595</v>
      </c>
    </row>
    <row r="64" spans="1:3" x14ac:dyDescent="0.2">
      <c r="A64" s="136">
        <v>43525</v>
      </c>
      <c r="B64" s="148">
        <v>78.260893727458139</v>
      </c>
      <c r="C64" s="148">
        <v>21.739106272541864</v>
      </c>
    </row>
    <row r="65" spans="1:3" x14ac:dyDescent="0.2">
      <c r="A65" s="136">
        <v>43556</v>
      </c>
      <c r="B65" s="148">
        <v>78.6352571490591</v>
      </c>
      <c r="C65" s="148">
        <v>21.3647428509409</v>
      </c>
    </row>
    <row r="66" spans="1:3" x14ac:dyDescent="0.2">
      <c r="A66" s="136">
        <v>43586</v>
      </c>
      <c r="B66" s="148">
        <v>77.933273510047286</v>
      </c>
      <c r="C66" s="148">
        <v>22.066726489952714</v>
      </c>
    </row>
    <row r="67" spans="1:3" x14ac:dyDescent="0.2">
      <c r="A67" s="136">
        <v>43617</v>
      </c>
      <c r="B67" s="148">
        <v>77.20918308906549</v>
      </c>
      <c r="C67" s="148">
        <v>22.79081691093451</v>
      </c>
    </row>
    <row r="68" spans="1:3" x14ac:dyDescent="0.2">
      <c r="A68" s="136">
        <v>43647</v>
      </c>
      <c r="B68" s="148">
        <v>76.499385053174819</v>
      </c>
      <c r="C68" s="148">
        <v>23.500614946825181</v>
      </c>
    </row>
    <row r="69" spans="1:3" x14ac:dyDescent="0.2">
      <c r="A69" s="136">
        <v>43678</v>
      </c>
      <c r="B69" s="148">
        <v>83.136288735661594</v>
      </c>
      <c r="C69" s="148">
        <v>16.863711264338399</v>
      </c>
    </row>
    <row r="70" spans="1:3" x14ac:dyDescent="0.2">
      <c r="A70" s="136">
        <v>43709</v>
      </c>
      <c r="B70" s="148">
        <v>76.486225620507625</v>
      </c>
      <c r="C70" s="148">
        <v>23.513774379492382</v>
      </c>
    </row>
    <row r="71" spans="1:3" x14ac:dyDescent="0.2">
      <c r="A71" s="136">
        <v>43739</v>
      </c>
      <c r="B71" s="148">
        <v>73.919234551712847</v>
      </c>
      <c r="C71" s="148">
        <v>26.080765448287156</v>
      </c>
    </row>
    <row r="72" spans="1:3" x14ac:dyDescent="0.2">
      <c r="A72" s="136">
        <v>43770</v>
      </c>
      <c r="B72" s="148">
        <v>73.791130517367179</v>
      </c>
      <c r="C72" s="148">
        <v>26.208869482632824</v>
      </c>
    </row>
    <row r="73" spans="1:3" x14ac:dyDescent="0.2">
      <c r="A73" s="136">
        <v>43800</v>
      </c>
      <c r="B73" s="148">
        <v>69.916268886865637</v>
      </c>
      <c r="C73" s="148">
        <v>30.083731113134359</v>
      </c>
    </row>
    <row r="74" spans="1:3" x14ac:dyDescent="0.2">
      <c r="A74" s="136">
        <v>43831</v>
      </c>
      <c r="B74" s="148">
        <v>75.235122016836868</v>
      </c>
      <c r="C74" s="148">
        <v>24.764877983163135</v>
      </c>
    </row>
    <row r="75" spans="1:3" x14ac:dyDescent="0.2">
      <c r="A75" s="136">
        <v>43862</v>
      </c>
      <c r="B75" s="148">
        <v>76.896469256928214</v>
      </c>
      <c r="C75" s="148">
        <v>23.103530743071786</v>
      </c>
    </row>
    <row r="76" spans="1:3" x14ac:dyDescent="0.2">
      <c r="A76" s="136">
        <v>43891</v>
      </c>
      <c r="B76" s="148">
        <v>75.727322440010639</v>
      </c>
      <c r="C76" s="148">
        <v>24.272677559989365</v>
      </c>
    </row>
    <row r="77" spans="1:3" x14ac:dyDescent="0.2">
      <c r="A77" s="136">
        <v>43922</v>
      </c>
      <c r="B77" s="148">
        <v>77.449374387050185</v>
      </c>
      <c r="C77" s="148">
        <v>22.550625612949815</v>
      </c>
    </row>
    <row r="78" spans="1:3" x14ac:dyDescent="0.2">
      <c r="A78" s="136">
        <v>43952</v>
      </c>
      <c r="B78" s="148">
        <v>75.760436437351558</v>
      </c>
      <c r="C78" s="148">
        <v>24.239563562648435</v>
      </c>
    </row>
    <row r="79" spans="1:3" x14ac:dyDescent="0.2">
      <c r="A79" s="136">
        <v>43983</v>
      </c>
      <c r="B79" s="148">
        <v>73.012491527064967</v>
      </c>
      <c r="C79" s="148">
        <v>26.98750847293503</v>
      </c>
    </row>
    <row r="80" spans="1:3" x14ac:dyDescent="0.2">
      <c r="A80" s="136">
        <v>44013</v>
      </c>
      <c r="B80" s="148">
        <v>76.086690512048193</v>
      </c>
      <c r="C80" s="148">
        <v>23.913309487951807</v>
      </c>
    </row>
    <row r="81" spans="1:3" x14ac:dyDescent="0.2">
      <c r="A81" s="136">
        <v>44044</v>
      </c>
      <c r="B81" s="148">
        <v>77.788833662617975</v>
      </c>
      <c r="C81" s="148">
        <v>22.211166337382025</v>
      </c>
    </row>
    <row r="82" spans="1:3" x14ac:dyDescent="0.2">
      <c r="A82" s="136">
        <v>44075</v>
      </c>
      <c r="B82" s="148">
        <v>75.668801315970896</v>
      </c>
      <c r="C82" s="148">
        <v>24.331198684029111</v>
      </c>
    </row>
    <row r="83" spans="1:3" x14ac:dyDescent="0.2">
      <c r="A83" s="136">
        <v>44105</v>
      </c>
      <c r="B83" s="148">
        <v>85.60296664161794</v>
      </c>
      <c r="C83" s="148">
        <v>14.39703335838206</v>
      </c>
    </row>
    <row r="84" spans="1:3" x14ac:dyDescent="0.2">
      <c r="A84" s="136">
        <v>44136</v>
      </c>
      <c r="B84" s="148">
        <v>74.643635506862225</v>
      </c>
      <c r="C84" s="148">
        <v>25.356364493137772</v>
      </c>
    </row>
    <row r="85" spans="1:3" x14ac:dyDescent="0.2">
      <c r="A85" s="136">
        <v>44166</v>
      </c>
      <c r="B85" s="148">
        <v>72.341360882526686</v>
      </c>
      <c r="C85" s="148">
        <v>27.658639117473317</v>
      </c>
    </row>
    <row r="86" spans="1:3" x14ac:dyDescent="0.2">
      <c r="A86" s="136">
        <v>44197</v>
      </c>
      <c r="B86" s="148">
        <v>67.264089829410494</v>
      </c>
      <c r="C86" s="148">
        <v>32.735910170589499</v>
      </c>
    </row>
    <row r="87" spans="1:3" x14ac:dyDescent="0.2">
      <c r="A87" s="136">
        <v>44228</v>
      </c>
      <c r="B87" s="148">
        <v>64.434922335297273</v>
      </c>
      <c r="C87" s="148">
        <v>35.565077664702727</v>
      </c>
    </row>
    <row r="88" spans="1:3" x14ac:dyDescent="0.2">
      <c r="A88" s="136">
        <v>44256</v>
      </c>
      <c r="B88" s="148">
        <v>70.438649726901005</v>
      </c>
      <c r="C88" s="148">
        <v>29.561350273098995</v>
      </c>
    </row>
    <row r="89" spans="1:3" x14ac:dyDescent="0.2">
      <c r="A89" s="136">
        <v>44287</v>
      </c>
      <c r="B89" s="148">
        <v>70.466841255155316</v>
      </c>
      <c r="C89" s="148">
        <v>29.533158744844677</v>
      </c>
    </row>
    <row r="90" spans="1:3" x14ac:dyDescent="0.2">
      <c r="A90" s="136">
        <v>44317</v>
      </c>
      <c r="B90" s="148">
        <v>68.456412950316576</v>
      </c>
      <c r="C90" s="148">
        <v>31.543587049683421</v>
      </c>
    </row>
    <row r="91" spans="1:3" x14ac:dyDescent="0.2">
      <c r="A91" s="136">
        <v>44348</v>
      </c>
      <c r="B91" s="148">
        <v>69.739882468068103</v>
      </c>
      <c r="C91" s="148">
        <v>30.260117531931897</v>
      </c>
    </row>
    <row r="92" spans="1:3" x14ac:dyDescent="0.2">
      <c r="A92" s="136">
        <v>44378</v>
      </c>
      <c r="B92" s="148">
        <v>64.568376816669584</v>
      </c>
      <c r="C92" s="148">
        <v>35.431623183330416</v>
      </c>
    </row>
    <row r="93" spans="1:3" x14ac:dyDescent="0.2">
      <c r="A93" s="136">
        <v>44409</v>
      </c>
      <c r="B93" s="148">
        <v>64.652562381371226</v>
      </c>
      <c r="C93" s="148">
        <v>35.347437618628774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18609-48C3-4C03-9A80-3DE814826DAA}">
  <dimension ref="A1:D52"/>
  <sheetViews>
    <sheetView zoomScaleNormal="100" workbookViewId="0"/>
  </sheetViews>
  <sheetFormatPr defaultColWidth="8.85546875" defaultRowHeight="12.75" x14ac:dyDescent="0.2"/>
  <cols>
    <col min="1" max="2" width="10.42578125" style="127" customWidth="1"/>
    <col min="3" max="3" width="8.85546875" style="127"/>
    <col min="4" max="4" width="11.42578125" style="127" customWidth="1"/>
    <col min="5" max="16384" width="8.85546875" style="127"/>
  </cols>
  <sheetData>
    <row r="1" spans="1:4" ht="25.5" x14ac:dyDescent="0.2">
      <c r="A1" s="140" t="s">
        <v>157</v>
      </c>
      <c r="B1" s="155" t="s">
        <v>12</v>
      </c>
      <c r="C1" s="155" t="s">
        <v>13</v>
      </c>
      <c r="D1" s="155" t="s">
        <v>25</v>
      </c>
    </row>
    <row r="2" spans="1:4" ht="15" x14ac:dyDescent="0.25">
      <c r="A2" s="141" t="s">
        <v>111</v>
      </c>
      <c r="B2" s="145">
        <v>2078</v>
      </c>
      <c r="C2" s="142">
        <v>1.1352261790182867</v>
      </c>
      <c r="D2" s="143">
        <v>2359</v>
      </c>
    </row>
    <row r="3" spans="1:4" ht="15" x14ac:dyDescent="0.25">
      <c r="A3" s="141" t="s">
        <v>112</v>
      </c>
      <c r="B3" s="143">
        <v>2461</v>
      </c>
      <c r="C3" s="142">
        <v>1.3925233644859814</v>
      </c>
      <c r="D3" s="144">
        <v>3427</v>
      </c>
    </row>
    <row r="4" spans="1:4" ht="15" x14ac:dyDescent="0.25">
      <c r="A4" s="141" t="s">
        <v>113</v>
      </c>
      <c r="B4" s="143">
        <v>3272</v>
      </c>
      <c r="C4" s="142">
        <v>1.2658924205378974</v>
      </c>
      <c r="D4" s="144">
        <v>4142</v>
      </c>
    </row>
    <row r="5" spans="1:4" ht="15" x14ac:dyDescent="0.25">
      <c r="A5" s="141" t="s">
        <v>114</v>
      </c>
      <c r="B5" s="143">
        <v>2721</v>
      </c>
      <c r="C5" s="142">
        <v>1.408305769937523</v>
      </c>
      <c r="D5" s="144">
        <v>3832</v>
      </c>
    </row>
    <row r="6" spans="1:4" ht="15" x14ac:dyDescent="0.25">
      <c r="A6" s="141" t="s">
        <v>115</v>
      </c>
      <c r="B6" s="143">
        <v>2897</v>
      </c>
      <c r="C6" s="142">
        <v>1.2219537452537108</v>
      </c>
      <c r="D6" s="144">
        <v>3540</v>
      </c>
    </row>
    <row r="7" spans="1:4" ht="15" x14ac:dyDescent="0.25">
      <c r="A7" s="141" t="s">
        <v>116</v>
      </c>
      <c r="B7" s="143">
        <v>2091</v>
      </c>
      <c r="C7" s="142">
        <v>1.327116212338594</v>
      </c>
      <c r="D7" s="144">
        <v>2775</v>
      </c>
    </row>
    <row r="8" spans="1:4" ht="15" x14ac:dyDescent="0.25">
      <c r="A8" s="141" t="s">
        <v>117</v>
      </c>
      <c r="B8" s="143">
        <v>2681</v>
      </c>
      <c r="C8" s="142">
        <v>1.608728086534875</v>
      </c>
      <c r="D8" s="144">
        <v>4313</v>
      </c>
    </row>
    <row r="9" spans="1:4" ht="15" x14ac:dyDescent="0.25">
      <c r="A9" s="141" t="s">
        <v>118</v>
      </c>
      <c r="B9" s="143">
        <v>3171</v>
      </c>
      <c r="C9" s="142">
        <v>1.2276884263639229</v>
      </c>
      <c r="D9" s="144">
        <v>3893</v>
      </c>
    </row>
    <row r="10" spans="1:4" ht="15" x14ac:dyDescent="0.25">
      <c r="A10" s="141" t="s">
        <v>119</v>
      </c>
      <c r="B10" s="143">
        <v>2120</v>
      </c>
      <c r="C10" s="142">
        <v>1.1160377358490565</v>
      </c>
      <c r="D10" s="144">
        <v>2366</v>
      </c>
    </row>
    <row r="11" spans="1:4" ht="15" x14ac:dyDescent="0.25">
      <c r="A11" s="141" t="s">
        <v>33</v>
      </c>
      <c r="B11" s="143">
        <v>2034</v>
      </c>
      <c r="C11" s="142">
        <v>1.1302851524090463</v>
      </c>
      <c r="D11" s="144">
        <v>2299</v>
      </c>
    </row>
    <row r="12" spans="1:4" ht="15" x14ac:dyDescent="0.25">
      <c r="A12" s="141" t="s">
        <v>37</v>
      </c>
      <c r="B12" s="143">
        <v>2450</v>
      </c>
      <c r="C12" s="142">
        <v>1.8367346938775511</v>
      </c>
      <c r="D12" s="144">
        <v>4500</v>
      </c>
    </row>
    <row r="13" spans="1:4" ht="15" x14ac:dyDescent="0.25">
      <c r="A13" s="141" t="s">
        <v>54</v>
      </c>
      <c r="B13" s="143">
        <v>3000</v>
      </c>
      <c r="C13" s="142">
        <v>1.8333333333333333</v>
      </c>
      <c r="D13" s="144">
        <v>5500</v>
      </c>
    </row>
    <row r="14" spans="1:4" x14ac:dyDescent="0.2">
      <c r="A14" s="128"/>
      <c r="B14" s="130"/>
    </row>
    <row r="15" spans="1:4" x14ac:dyDescent="0.2">
      <c r="A15" s="128"/>
      <c r="B15" s="130"/>
    </row>
    <row r="16" spans="1:4" x14ac:dyDescent="0.2">
      <c r="A16" s="128"/>
      <c r="B16" s="131"/>
    </row>
    <row r="17" spans="1:2" x14ac:dyDescent="0.2">
      <c r="A17" s="128"/>
      <c r="B17" s="129"/>
    </row>
    <row r="18" spans="1:2" x14ac:dyDescent="0.2">
      <c r="A18" s="128"/>
      <c r="B18" s="129"/>
    </row>
    <row r="19" spans="1:2" x14ac:dyDescent="0.2">
      <c r="B19" s="129"/>
    </row>
    <row r="20" spans="1:2" x14ac:dyDescent="0.2">
      <c r="B20" s="129"/>
    </row>
    <row r="21" spans="1:2" x14ac:dyDescent="0.2">
      <c r="B21" s="129"/>
    </row>
    <row r="22" spans="1:2" x14ac:dyDescent="0.2">
      <c r="B22" s="129"/>
    </row>
    <row r="23" spans="1:2" x14ac:dyDescent="0.2">
      <c r="B23" s="129"/>
    </row>
    <row r="24" spans="1:2" x14ac:dyDescent="0.2">
      <c r="B24" s="129"/>
    </row>
    <row r="25" spans="1:2" x14ac:dyDescent="0.2">
      <c r="B25" s="129"/>
    </row>
    <row r="26" spans="1:2" x14ac:dyDescent="0.2">
      <c r="B26" s="130"/>
    </row>
    <row r="27" spans="1:2" x14ac:dyDescent="0.2">
      <c r="B27" s="130"/>
    </row>
    <row r="28" spans="1:2" x14ac:dyDescent="0.2">
      <c r="B28" s="130"/>
    </row>
    <row r="29" spans="1:2" x14ac:dyDescent="0.2">
      <c r="B29" s="130"/>
    </row>
    <row r="30" spans="1:2" x14ac:dyDescent="0.2">
      <c r="B30" s="130"/>
    </row>
    <row r="31" spans="1:2" x14ac:dyDescent="0.2">
      <c r="B31" s="130"/>
    </row>
    <row r="32" spans="1:2" x14ac:dyDescent="0.2">
      <c r="B32" s="130"/>
    </row>
    <row r="33" spans="2:2" x14ac:dyDescent="0.2">
      <c r="B33" s="130"/>
    </row>
    <row r="34" spans="2:2" x14ac:dyDescent="0.2">
      <c r="B34" s="130"/>
    </row>
    <row r="35" spans="2:2" x14ac:dyDescent="0.2">
      <c r="B35" s="130"/>
    </row>
    <row r="36" spans="2:2" x14ac:dyDescent="0.2">
      <c r="B36" s="130"/>
    </row>
    <row r="37" spans="2:2" x14ac:dyDescent="0.2">
      <c r="B37" s="130"/>
    </row>
    <row r="38" spans="2:2" x14ac:dyDescent="0.2">
      <c r="B38" s="130"/>
    </row>
    <row r="39" spans="2:2" x14ac:dyDescent="0.2">
      <c r="B39" s="130"/>
    </row>
    <row r="40" spans="2:2" x14ac:dyDescent="0.2">
      <c r="B40" s="130"/>
    </row>
    <row r="41" spans="2:2" x14ac:dyDescent="0.2">
      <c r="B41" s="130"/>
    </row>
    <row r="42" spans="2:2" x14ac:dyDescent="0.2">
      <c r="B42" s="130"/>
    </row>
    <row r="43" spans="2:2" x14ac:dyDescent="0.2">
      <c r="B43" s="130"/>
    </row>
    <row r="44" spans="2:2" x14ac:dyDescent="0.2">
      <c r="B44" s="130"/>
    </row>
    <row r="45" spans="2:2" x14ac:dyDescent="0.2">
      <c r="B45" s="130"/>
    </row>
    <row r="46" spans="2:2" x14ac:dyDescent="0.2">
      <c r="B46" s="130"/>
    </row>
    <row r="47" spans="2:2" x14ac:dyDescent="0.2">
      <c r="B47" s="130"/>
    </row>
    <row r="48" spans="2:2" x14ac:dyDescent="0.2">
      <c r="B48" s="130"/>
    </row>
    <row r="49" spans="2:2" x14ac:dyDescent="0.2">
      <c r="B49" s="130"/>
    </row>
    <row r="50" spans="2:2" x14ac:dyDescent="0.2">
      <c r="B50" s="130"/>
    </row>
    <row r="51" spans="2:2" x14ac:dyDescent="0.2">
      <c r="B51" s="130"/>
    </row>
    <row r="52" spans="2:2" x14ac:dyDescent="0.2">
      <c r="B52" s="13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CC6B-90A5-4E89-B5A2-7982F3421D77}">
  <dimension ref="A1:E47"/>
  <sheetViews>
    <sheetView zoomScaleNormal="100" workbookViewId="0"/>
  </sheetViews>
  <sheetFormatPr defaultColWidth="8.85546875" defaultRowHeight="12.75" x14ac:dyDescent="0.2"/>
  <cols>
    <col min="1" max="2" width="10.42578125" style="127" customWidth="1"/>
    <col min="3" max="3" width="9.7109375" style="127" customWidth="1"/>
    <col min="4" max="16384" width="8.85546875" style="127"/>
  </cols>
  <sheetData>
    <row r="1" spans="1:5" ht="38.25" x14ac:dyDescent="0.2">
      <c r="A1" s="126" t="s">
        <v>157</v>
      </c>
      <c r="B1" s="126" t="s">
        <v>167</v>
      </c>
      <c r="C1" s="126" t="s">
        <v>161</v>
      </c>
      <c r="D1" s="126" t="s">
        <v>13</v>
      </c>
    </row>
    <row r="2" spans="1:5" ht="15" x14ac:dyDescent="0.25">
      <c r="A2" s="141" t="s">
        <v>111</v>
      </c>
      <c r="B2" s="149">
        <v>13079</v>
      </c>
      <c r="C2" s="149">
        <v>19704</v>
      </c>
      <c r="D2" s="153">
        <v>1.4191160555820095</v>
      </c>
      <c r="E2" s="149"/>
    </row>
    <row r="3" spans="1:5" ht="15" x14ac:dyDescent="0.25">
      <c r="A3" s="141" t="s">
        <v>112</v>
      </c>
      <c r="B3" s="150">
        <v>18862</v>
      </c>
      <c r="C3" s="150">
        <v>19871</v>
      </c>
      <c r="D3" s="154">
        <v>1.5715097172069623</v>
      </c>
      <c r="E3" s="149"/>
    </row>
    <row r="4" spans="1:5" ht="15" x14ac:dyDescent="0.25">
      <c r="A4" s="141" t="s">
        <v>113</v>
      </c>
      <c r="B4" s="150">
        <v>16495</v>
      </c>
      <c r="C4" s="150">
        <v>18477</v>
      </c>
      <c r="D4" s="154">
        <v>1.4818016185754841</v>
      </c>
      <c r="E4" s="149"/>
    </row>
    <row r="5" spans="1:5" ht="15" x14ac:dyDescent="0.25">
      <c r="A5" s="141" t="s">
        <v>114</v>
      </c>
      <c r="B5" s="150">
        <v>21442</v>
      </c>
      <c r="C5" s="150">
        <v>20126</v>
      </c>
      <c r="D5" s="154">
        <v>1.7304137873615852</v>
      </c>
      <c r="E5" s="149"/>
    </row>
    <row r="6" spans="1:5" ht="15" x14ac:dyDescent="0.25">
      <c r="A6" s="141" t="s">
        <v>115</v>
      </c>
      <c r="B6" s="150">
        <v>18574</v>
      </c>
      <c r="C6" s="150">
        <v>20710</v>
      </c>
      <c r="D6" s="154">
        <v>1.6995024875621891</v>
      </c>
      <c r="E6" s="149"/>
    </row>
    <row r="7" spans="1:5" ht="15" x14ac:dyDescent="0.25">
      <c r="A7" s="141" t="s">
        <v>116</v>
      </c>
      <c r="B7" s="150">
        <v>21073</v>
      </c>
      <c r="C7" s="150">
        <v>19677</v>
      </c>
      <c r="D7" s="154">
        <v>1.7339687672864985</v>
      </c>
      <c r="E7" s="149"/>
    </row>
    <row r="8" spans="1:5" ht="15" x14ac:dyDescent="0.25">
      <c r="A8" s="141" t="s">
        <v>117</v>
      </c>
      <c r="B8" s="150">
        <v>26058</v>
      </c>
      <c r="C8" s="150">
        <v>22335</v>
      </c>
      <c r="D8" s="154">
        <v>1.8623436598037328</v>
      </c>
      <c r="E8" s="149"/>
    </row>
    <row r="9" spans="1:5" ht="15" x14ac:dyDescent="0.25">
      <c r="A9" s="141" t="s">
        <v>118</v>
      </c>
      <c r="B9" s="150">
        <v>24062</v>
      </c>
      <c r="C9" s="150">
        <v>23948</v>
      </c>
      <c r="D9" s="154">
        <v>1.847177869262437</v>
      </c>
      <c r="E9" s="149"/>
    </row>
    <row r="10" spans="1:5" ht="15" x14ac:dyDescent="0.25">
      <c r="A10" s="141" t="s">
        <v>119</v>
      </c>
      <c r="B10" s="150">
        <v>27710</v>
      </c>
      <c r="C10" s="150">
        <v>22949</v>
      </c>
      <c r="D10" s="154">
        <v>1.9627663696241766</v>
      </c>
      <c r="E10" s="149"/>
    </row>
    <row r="11" spans="1:5" ht="15" x14ac:dyDescent="0.25">
      <c r="A11" s="141" t="s">
        <v>33</v>
      </c>
      <c r="B11" s="150">
        <v>31805</v>
      </c>
      <c r="C11" s="150">
        <v>22132</v>
      </c>
      <c r="D11" s="154">
        <v>2.0724275724275723</v>
      </c>
      <c r="E11" s="149"/>
    </row>
    <row r="12" spans="1:5" ht="15" x14ac:dyDescent="0.25">
      <c r="A12" s="141" t="s">
        <v>37</v>
      </c>
      <c r="B12" s="150">
        <v>27369</v>
      </c>
      <c r="C12" s="150">
        <v>21738</v>
      </c>
      <c r="D12" s="154">
        <v>1.8209359240581431</v>
      </c>
      <c r="E12" s="149"/>
    </row>
    <row r="13" spans="1:5" ht="15" x14ac:dyDescent="0.25">
      <c r="A13" s="141" t="s">
        <v>54</v>
      </c>
      <c r="B13" s="150">
        <v>33000</v>
      </c>
      <c r="C13" s="150">
        <v>24041</v>
      </c>
      <c r="D13" s="154">
        <v>2.0055200056254834</v>
      </c>
      <c r="E13" s="149"/>
    </row>
    <row r="14" spans="1:5" x14ac:dyDescent="0.2">
      <c r="B14" s="152"/>
    </row>
    <row r="15" spans="1:5" x14ac:dyDescent="0.2">
      <c r="B15" s="129"/>
    </row>
    <row r="16" spans="1:5" x14ac:dyDescent="0.2">
      <c r="B16" s="129"/>
    </row>
    <row r="17" spans="2:2" x14ac:dyDescent="0.2">
      <c r="B17" s="151"/>
    </row>
    <row r="18" spans="2:2" x14ac:dyDescent="0.2">
      <c r="B18" s="129"/>
    </row>
    <row r="19" spans="2:2" x14ac:dyDescent="0.2">
      <c r="B19" s="129"/>
    </row>
    <row r="20" spans="2:2" x14ac:dyDescent="0.2">
      <c r="B20" s="129"/>
    </row>
    <row r="21" spans="2:2" x14ac:dyDescent="0.2">
      <c r="B21" s="130"/>
    </row>
    <row r="22" spans="2:2" x14ac:dyDescent="0.2">
      <c r="B22" s="130"/>
    </row>
    <row r="23" spans="2:2" x14ac:dyDescent="0.2">
      <c r="B23" s="130"/>
    </row>
    <row r="24" spans="2:2" x14ac:dyDescent="0.2">
      <c r="B24" s="130"/>
    </row>
    <row r="25" spans="2:2" x14ac:dyDescent="0.2">
      <c r="B25" s="130"/>
    </row>
    <row r="26" spans="2:2" x14ac:dyDescent="0.2">
      <c r="B26" s="130"/>
    </row>
    <row r="27" spans="2:2" x14ac:dyDescent="0.2">
      <c r="B27" s="130"/>
    </row>
    <row r="28" spans="2:2" x14ac:dyDescent="0.2">
      <c r="B28" s="130"/>
    </row>
    <row r="29" spans="2:2" x14ac:dyDescent="0.2">
      <c r="B29" s="130"/>
    </row>
    <row r="30" spans="2:2" x14ac:dyDescent="0.2">
      <c r="B30" s="130"/>
    </row>
    <row r="31" spans="2:2" x14ac:dyDescent="0.2">
      <c r="B31" s="130"/>
    </row>
    <row r="32" spans="2:2" x14ac:dyDescent="0.2">
      <c r="B32" s="130"/>
    </row>
    <row r="33" spans="2:2" x14ac:dyDescent="0.2">
      <c r="B33" s="130"/>
    </row>
    <row r="34" spans="2:2" x14ac:dyDescent="0.2">
      <c r="B34" s="130"/>
    </row>
    <row r="35" spans="2:2" x14ac:dyDescent="0.2">
      <c r="B35" s="130"/>
    </row>
    <row r="36" spans="2:2" x14ac:dyDescent="0.2">
      <c r="B36" s="130"/>
    </row>
    <row r="37" spans="2:2" x14ac:dyDescent="0.2">
      <c r="B37" s="130"/>
    </row>
    <row r="38" spans="2:2" x14ac:dyDescent="0.2">
      <c r="B38" s="130"/>
    </row>
    <row r="39" spans="2:2" x14ac:dyDescent="0.2">
      <c r="B39" s="130"/>
    </row>
    <row r="40" spans="2:2" x14ac:dyDescent="0.2">
      <c r="B40" s="130"/>
    </row>
    <row r="41" spans="2:2" x14ac:dyDescent="0.2">
      <c r="B41" s="130"/>
    </row>
    <row r="42" spans="2:2" x14ac:dyDescent="0.2">
      <c r="B42" s="130"/>
    </row>
    <row r="43" spans="2:2" x14ac:dyDescent="0.2">
      <c r="B43" s="130"/>
    </row>
    <row r="44" spans="2:2" x14ac:dyDescent="0.2">
      <c r="B44" s="130"/>
    </row>
    <row r="45" spans="2:2" x14ac:dyDescent="0.2">
      <c r="B45" s="130"/>
    </row>
    <row r="46" spans="2:2" x14ac:dyDescent="0.2">
      <c r="B46" s="130"/>
    </row>
    <row r="47" spans="2:2" x14ac:dyDescent="0.2">
      <c r="B47" s="13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947FD-D330-4C28-A829-690DF80F2520}">
  <dimension ref="A1:J47"/>
  <sheetViews>
    <sheetView zoomScaleNormal="100" workbookViewId="0"/>
  </sheetViews>
  <sheetFormatPr defaultColWidth="8.85546875" defaultRowHeight="12.75" x14ac:dyDescent="0.2"/>
  <cols>
    <col min="1" max="1" width="14.42578125" style="127" customWidth="1"/>
    <col min="2" max="2" width="11.140625" style="127" customWidth="1"/>
    <col min="3" max="4" width="13" style="127" customWidth="1"/>
    <col min="5" max="5" width="14.7109375" style="127" customWidth="1"/>
    <col min="6" max="10" width="13" style="127" customWidth="1"/>
    <col min="11" max="16384" width="8.85546875" style="127"/>
  </cols>
  <sheetData>
    <row r="1" spans="1:10" ht="25.5" x14ac:dyDescent="0.2">
      <c r="A1" s="126" t="s">
        <v>157</v>
      </c>
      <c r="B1" s="126" t="s">
        <v>25</v>
      </c>
      <c r="C1" s="126" t="s">
        <v>162</v>
      </c>
      <c r="D1" s="126" t="s">
        <v>168</v>
      </c>
      <c r="E1" s="139"/>
      <c r="F1" s="139"/>
      <c r="G1" s="139"/>
      <c r="H1" s="139"/>
      <c r="I1" s="139"/>
      <c r="J1" s="139"/>
    </row>
    <row r="2" spans="1:10" ht="15" x14ac:dyDescent="0.25">
      <c r="A2" s="141" t="s">
        <v>111</v>
      </c>
      <c r="B2" s="130">
        <v>12085</v>
      </c>
      <c r="C2" s="130">
        <v>4538</v>
      </c>
      <c r="D2" s="130">
        <v>11335</v>
      </c>
    </row>
    <row r="3" spans="1:10" ht="15" x14ac:dyDescent="0.25">
      <c r="A3" s="141" t="s">
        <v>112</v>
      </c>
      <c r="B3" s="130">
        <v>14362</v>
      </c>
      <c r="C3" s="130">
        <v>6478</v>
      </c>
      <c r="D3" s="130">
        <v>12559</v>
      </c>
    </row>
    <row r="4" spans="1:10" ht="15" x14ac:dyDescent="0.25">
      <c r="A4" s="141" t="s">
        <v>113</v>
      </c>
      <c r="B4" s="130">
        <v>12871</v>
      </c>
      <c r="C4" s="130">
        <v>5545</v>
      </c>
      <c r="D4" s="130">
        <v>13192</v>
      </c>
    </row>
    <row r="5" spans="1:10" ht="15" x14ac:dyDescent="0.25">
      <c r="A5" s="141" t="s">
        <v>114</v>
      </c>
      <c r="B5" s="130">
        <v>15647</v>
      </c>
      <c r="C5" s="130">
        <v>7777</v>
      </c>
      <c r="D5" s="130">
        <v>14242</v>
      </c>
    </row>
    <row r="6" spans="1:10" ht="15" x14ac:dyDescent="0.25">
      <c r="A6" s="141" t="s">
        <v>115</v>
      </c>
      <c r="B6" s="130">
        <v>14974</v>
      </c>
      <c r="C6" s="130">
        <v>7444</v>
      </c>
      <c r="D6" s="130">
        <v>14275</v>
      </c>
    </row>
    <row r="7" spans="1:10" ht="15" x14ac:dyDescent="0.25">
      <c r="A7" s="141" t="s">
        <v>116</v>
      </c>
      <c r="B7" s="130">
        <v>15461</v>
      </c>
      <c r="C7" s="130">
        <v>8176</v>
      </c>
      <c r="D7" s="130">
        <v>15117</v>
      </c>
    </row>
    <row r="8" spans="1:10" ht="15" x14ac:dyDescent="0.25">
      <c r="A8" s="141" t="s">
        <v>117</v>
      </c>
      <c r="B8" s="130">
        <v>18294</v>
      </c>
      <c r="C8" s="130">
        <v>10755</v>
      </c>
      <c r="D8" s="130">
        <v>16462</v>
      </c>
    </row>
    <row r="9" spans="1:10" ht="15" x14ac:dyDescent="0.25">
      <c r="A9" s="141" t="s">
        <v>118</v>
      </c>
      <c r="B9" s="130">
        <v>18605</v>
      </c>
      <c r="C9" s="130">
        <v>10327</v>
      </c>
      <c r="D9" s="130">
        <v>17514</v>
      </c>
    </row>
    <row r="10" spans="1:10" ht="15" x14ac:dyDescent="0.25">
      <c r="A10" s="141" t="s">
        <v>119</v>
      </c>
      <c r="B10" s="130">
        <v>19619</v>
      </c>
      <c r="C10" s="130">
        <v>11503</v>
      </c>
      <c r="D10" s="130">
        <v>18189</v>
      </c>
    </row>
    <row r="11" spans="1:10" ht="15" x14ac:dyDescent="0.25">
      <c r="A11" s="141" t="s">
        <v>33</v>
      </c>
      <c r="B11" s="131">
        <v>21201</v>
      </c>
      <c r="C11" s="131">
        <v>13132</v>
      </c>
      <c r="D11" s="131">
        <v>19097</v>
      </c>
    </row>
    <row r="12" spans="1:10" ht="15" x14ac:dyDescent="0.25">
      <c r="A12" s="141" t="s">
        <v>37</v>
      </c>
      <c r="B12" s="129">
        <v>19133</v>
      </c>
      <c r="C12" s="129">
        <v>10527</v>
      </c>
      <c r="D12" s="129">
        <v>18589</v>
      </c>
    </row>
    <row r="13" spans="1:10" ht="15" x14ac:dyDescent="0.25">
      <c r="A13" s="141" t="s">
        <v>54</v>
      </c>
      <c r="B13" s="129">
        <v>22054</v>
      </c>
      <c r="C13" s="129">
        <v>13349</v>
      </c>
      <c r="D13" s="129">
        <v>20567</v>
      </c>
    </row>
    <row r="14" spans="1:10" x14ac:dyDescent="0.2">
      <c r="B14" s="129"/>
    </row>
    <row r="15" spans="1:10" x14ac:dyDescent="0.2">
      <c r="B15" s="129"/>
    </row>
    <row r="16" spans="1:10" x14ac:dyDescent="0.2">
      <c r="B16" s="129"/>
    </row>
    <row r="17" spans="2:2" x14ac:dyDescent="0.2">
      <c r="B17" s="129"/>
    </row>
    <row r="18" spans="2:2" x14ac:dyDescent="0.2">
      <c r="B18" s="129"/>
    </row>
    <row r="19" spans="2:2" x14ac:dyDescent="0.2">
      <c r="B19" s="129"/>
    </row>
    <row r="20" spans="2:2" x14ac:dyDescent="0.2">
      <c r="B20" s="129"/>
    </row>
    <row r="21" spans="2:2" x14ac:dyDescent="0.2">
      <c r="B21" s="130"/>
    </row>
    <row r="22" spans="2:2" x14ac:dyDescent="0.2">
      <c r="B22" s="130"/>
    </row>
    <row r="23" spans="2:2" x14ac:dyDescent="0.2">
      <c r="B23" s="130"/>
    </row>
    <row r="24" spans="2:2" x14ac:dyDescent="0.2">
      <c r="B24" s="130"/>
    </row>
    <row r="25" spans="2:2" x14ac:dyDescent="0.2">
      <c r="B25" s="130"/>
    </row>
    <row r="26" spans="2:2" x14ac:dyDescent="0.2">
      <c r="B26" s="130"/>
    </row>
    <row r="27" spans="2:2" x14ac:dyDescent="0.2">
      <c r="B27" s="130"/>
    </row>
    <row r="28" spans="2:2" x14ac:dyDescent="0.2">
      <c r="B28" s="130"/>
    </row>
    <row r="29" spans="2:2" x14ac:dyDescent="0.2">
      <c r="B29" s="130"/>
    </row>
    <row r="30" spans="2:2" x14ac:dyDescent="0.2">
      <c r="B30" s="130"/>
    </row>
    <row r="31" spans="2:2" x14ac:dyDescent="0.2">
      <c r="B31" s="130"/>
    </row>
    <row r="32" spans="2:2" x14ac:dyDescent="0.2">
      <c r="B32" s="130"/>
    </row>
    <row r="33" spans="2:2" x14ac:dyDescent="0.2">
      <c r="B33" s="130"/>
    </row>
    <row r="34" spans="2:2" x14ac:dyDescent="0.2">
      <c r="B34" s="130"/>
    </row>
    <row r="35" spans="2:2" x14ac:dyDescent="0.2">
      <c r="B35" s="130"/>
    </row>
    <row r="36" spans="2:2" x14ac:dyDescent="0.2">
      <c r="B36" s="130"/>
    </row>
    <row r="37" spans="2:2" x14ac:dyDescent="0.2">
      <c r="B37" s="130"/>
    </row>
    <row r="38" spans="2:2" x14ac:dyDescent="0.2">
      <c r="B38" s="130"/>
    </row>
    <row r="39" spans="2:2" x14ac:dyDescent="0.2">
      <c r="B39" s="130"/>
    </row>
    <row r="40" spans="2:2" x14ac:dyDescent="0.2">
      <c r="B40" s="130"/>
    </row>
    <row r="41" spans="2:2" x14ac:dyDescent="0.2">
      <c r="B41" s="130"/>
    </row>
    <row r="42" spans="2:2" x14ac:dyDescent="0.2">
      <c r="B42" s="130"/>
    </row>
    <row r="43" spans="2:2" x14ac:dyDescent="0.2">
      <c r="B43" s="130"/>
    </row>
    <row r="44" spans="2:2" x14ac:dyDescent="0.2">
      <c r="B44" s="130"/>
    </row>
    <row r="45" spans="2:2" x14ac:dyDescent="0.2">
      <c r="B45" s="130"/>
    </row>
    <row r="46" spans="2:2" x14ac:dyDescent="0.2">
      <c r="B46" s="130"/>
    </row>
    <row r="47" spans="2:2" x14ac:dyDescent="0.2">
      <c r="B47" s="13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3"/>
  <sheetViews>
    <sheetView showGridLines="0" zoomScale="70" zoomScaleNormal="70" workbookViewId="0"/>
  </sheetViews>
  <sheetFormatPr defaultColWidth="9.140625" defaultRowHeight="12.75" x14ac:dyDescent="0.2"/>
  <cols>
    <col min="1" max="1" width="21.7109375" style="18" customWidth="1"/>
    <col min="2" max="2" width="14.140625" style="18" bestFit="1" customWidth="1"/>
    <col min="3" max="3" width="9.5703125" style="18" customWidth="1"/>
    <col min="4" max="4" width="26.7109375" style="18" customWidth="1"/>
    <col min="5" max="5" width="9.7109375" style="18" customWidth="1"/>
    <col min="6" max="6" width="10.7109375" style="18" customWidth="1"/>
    <col min="7" max="7" width="8.7109375" style="18" bestFit="1" customWidth="1"/>
    <col min="8" max="8" width="9.7109375" style="18" customWidth="1"/>
    <col min="9" max="9" width="1.7109375" style="18" customWidth="1"/>
    <col min="10" max="10" width="9.7109375" style="18" customWidth="1"/>
    <col min="11" max="12" width="10.7109375" style="18" customWidth="1"/>
    <col min="13" max="13" width="10.28515625" style="18" customWidth="1"/>
    <col min="14" max="14" width="9.7109375" style="18" customWidth="1"/>
    <col min="15" max="16" width="9.140625" style="18"/>
    <col min="17" max="17" width="15.42578125" style="18" bestFit="1" customWidth="1"/>
    <col min="18" max="18" width="10.140625" style="18" bestFit="1" customWidth="1"/>
    <col min="19" max="16384" width="9.140625" style="18"/>
  </cols>
  <sheetData>
    <row r="1" spans="1:23" ht="14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4.25" x14ac:dyDescent="0.2">
      <c r="A2" s="19"/>
      <c r="B2" s="20" t="s">
        <v>12</v>
      </c>
      <c r="C2" s="156"/>
      <c r="D2" s="21" t="s">
        <v>13</v>
      </c>
      <c r="E2" s="22"/>
      <c r="F2" s="156" t="s">
        <v>14</v>
      </c>
      <c r="G2" s="156"/>
      <c r="H2" s="156"/>
      <c r="I2" s="23"/>
      <c r="J2" s="22"/>
      <c r="K2" s="156"/>
      <c r="L2" s="24" t="s">
        <v>15</v>
      </c>
      <c r="M2" s="156"/>
      <c r="N2" s="19"/>
    </row>
    <row r="3" spans="1:23" ht="14.25" x14ac:dyDescent="0.2">
      <c r="A3" s="19" t="s">
        <v>16</v>
      </c>
      <c r="B3" s="21" t="s">
        <v>17</v>
      </c>
      <c r="C3" s="19" t="s">
        <v>18</v>
      </c>
      <c r="D3" s="21"/>
      <c r="E3" s="25" t="s">
        <v>19</v>
      </c>
      <c r="F3" s="25"/>
      <c r="G3" s="25"/>
      <c r="H3" s="25"/>
      <c r="I3" s="25"/>
      <c r="J3" s="21" t="s">
        <v>20</v>
      </c>
      <c r="K3" s="25" t="s">
        <v>21</v>
      </c>
      <c r="L3" s="25"/>
      <c r="M3" s="25"/>
      <c r="N3" s="25" t="s">
        <v>22</v>
      </c>
    </row>
    <row r="4" spans="1:23" ht="14.25" x14ac:dyDescent="0.2">
      <c r="A4" s="26" t="s">
        <v>23</v>
      </c>
      <c r="B4" s="27"/>
      <c r="C4" s="27"/>
      <c r="D4" s="27"/>
      <c r="E4" s="28" t="s">
        <v>24</v>
      </c>
      <c r="F4" s="28" t="s">
        <v>25</v>
      </c>
      <c r="G4" s="29" t="s">
        <v>26</v>
      </c>
      <c r="H4" s="30" t="s">
        <v>27</v>
      </c>
      <c r="I4" s="29"/>
      <c r="J4" s="29"/>
      <c r="K4" s="29" t="s">
        <v>28</v>
      </c>
      <c r="L4" s="30" t="s">
        <v>29</v>
      </c>
      <c r="M4" s="28" t="s">
        <v>27</v>
      </c>
      <c r="N4" s="29" t="s">
        <v>24</v>
      </c>
      <c r="W4" s="31"/>
    </row>
    <row r="5" spans="1:23" ht="14.25" x14ac:dyDescent="0.2">
      <c r="A5" s="19"/>
      <c r="B5" s="32" t="s">
        <v>30</v>
      </c>
      <c r="C5" s="157"/>
      <c r="D5" s="33" t="s">
        <v>31</v>
      </c>
      <c r="G5" s="32"/>
      <c r="I5" s="32"/>
      <c r="J5" s="32" t="s">
        <v>32</v>
      </c>
      <c r="K5" s="32"/>
      <c r="L5" s="32"/>
      <c r="M5" s="32"/>
      <c r="N5" s="32"/>
      <c r="W5" s="31"/>
    </row>
    <row r="6" spans="1:23" ht="16.5" customHeight="1" x14ac:dyDescent="0.2">
      <c r="A6" s="19" t="s">
        <v>33</v>
      </c>
      <c r="B6" s="34">
        <v>76.099999999999994</v>
      </c>
      <c r="C6" s="34">
        <v>74.938999999999993</v>
      </c>
      <c r="D6" s="34">
        <f>F6/C6</f>
        <v>47.397323156167019</v>
      </c>
      <c r="E6" s="35">
        <v>909</v>
      </c>
      <c r="F6" s="36">
        <v>3551.9079999999999</v>
      </c>
      <c r="G6" s="37">
        <v>15.380623192800002</v>
      </c>
      <c r="H6" s="37">
        <f>SUM(E6:G6)</f>
        <v>4476.2886231927996</v>
      </c>
      <c r="I6" s="36" t="e">
        <f>#REF!</f>
        <v>#REF!</v>
      </c>
      <c r="J6" s="36">
        <v>2164.571916009776</v>
      </c>
      <c r="K6" s="36">
        <f>M6-L6-J6</f>
        <v>107.92510436542307</v>
      </c>
      <c r="L6" s="37">
        <v>1679.2506028176001</v>
      </c>
      <c r="M6" s="37">
        <f>H6-N6</f>
        <v>3951.7476231927994</v>
      </c>
      <c r="N6" s="37">
        <v>524.54100000000017</v>
      </c>
    </row>
    <row r="7" spans="1:23" ht="16.5" customHeight="1" x14ac:dyDescent="0.2">
      <c r="A7" s="19" t="s">
        <v>34</v>
      </c>
      <c r="B7" s="34">
        <v>83.353999999999999</v>
      </c>
      <c r="C7" s="34">
        <v>82.602999999999994</v>
      </c>
      <c r="D7" s="34">
        <f>F7/C7</f>
        <v>51.042964541239421</v>
      </c>
      <c r="E7" s="35">
        <f>N6</f>
        <v>524.54100000000017</v>
      </c>
      <c r="F7" s="36">
        <f>F28</f>
        <v>4216.3019999999997</v>
      </c>
      <c r="G7" s="37">
        <f>G28</f>
        <v>19.838438342399996</v>
      </c>
      <c r="H7" s="37">
        <f>SUM(E7:G7)</f>
        <v>4760.6814383423998</v>
      </c>
      <c r="I7" s="19"/>
      <c r="J7" s="36">
        <f>J28</f>
        <v>2140.6021535309255</v>
      </c>
      <c r="K7" s="36">
        <f t="shared" ref="K7:K8" si="0">M7-L7-J7</f>
        <v>98.451103312274427</v>
      </c>
      <c r="L7" s="37">
        <f>L28</f>
        <v>2265.4491814991998</v>
      </c>
      <c r="M7" s="37">
        <f>H7-N7</f>
        <v>4504.5024383423997</v>
      </c>
      <c r="N7" s="37">
        <f>N27</f>
        <v>256.17899999999997</v>
      </c>
    </row>
    <row r="8" spans="1:23" ht="16.5" customHeight="1" x14ac:dyDescent="0.2">
      <c r="A8" s="19" t="s">
        <v>35</v>
      </c>
      <c r="B8" s="34">
        <v>87.234999999999999</v>
      </c>
      <c r="C8" s="34">
        <v>86.436000000000007</v>
      </c>
      <c r="D8" s="34">
        <f>F8/C8</f>
        <v>51.193275949835716</v>
      </c>
      <c r="E8" s="35">
        <f>N7</f>
        <v>256.17899999999997</v>
      </c>
      <c r="F8" s="36">
        <v>4424.942</v>
      </c>
      <c r="G8" s="37">
        <v>15</v>
      </c>
      <c r="H8" s="37">
        <f>SUM(E8:G8)</f>
        <v>4696.1210000000001</v>
      </c>
      <c r="I8" s="19"/>
      <c r="J8" s="36">
        <v>2190</v>
      </c>
      <c r="K8" s="36">
        <f t="shared" si="0"/>
        <v>116.22100000000046</v>
      </c>
      <c r="L8" s="37">
        <v>2050</v>
      </c>
      <c r="M8" s="37">
        <f>H8-N8</f>
        <v>4356.2210000000005</v>
      </c>
      <c r="N8" s="37">
        <v>339.9</v>
      </c>
    </row>
    <row r="9" spans="1:23" ht="16.5" customHeight="1" x14ac:dyDescent="0.2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 x14ac:dyDescent="0.2">
      <c r="A10" s="23" t="s">
        <v>36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40"/>
    </row>
    <row r="11" spans="1:23" ht="16.5" customHeight="1" x14ac:dyDescent="0.25">
      <c r="A11" s="41" t="s">
        <v>37</v>
      </c>
      <c r="B11" s="160"/>
      <c r="C11" s="160"/>
      <c r="D11" s="160"/>
      <c r="E11" s="43"/>
      <c r="F11" s="44"/>
      <c r="G11" s="7"/>
      <c r="H11" s="14"/>
      <c r="I11" s="160"/>
      <c r="J11" s="14"/>
      <c r="K11" s="45"/>
      <c r="L11" s="7"/>
      <c r="M11" s="7"/>
      <c r="N11" s="14"/>
    </row>
    <row r="12" spans="1:23" ht="16.5" customHeight="1" x14ac:dyDescent="0.2">
      <c r="A12" s="23" t="s">
        <v>38</v>
      </c>
      <c r="B12" s="160"/>
      <c r="C12" s="160"/>
      <c r="D12" s="160"/>
      <c r="E12" s="43"/>
      <c r="F12" s="44"/>
      <c r="G12" s="7">
        <f>(44527.6*36.744)/1000000</f>
        <v>1.6361221343999999</v>
      </c>
      <c r="I12" s="160"/>
      <c r="J12" s="14">
        <f>((5131665*0.907185)*36.744)/1000000</f>
        <v>171.05689738659061</v>
      </c>
      <c r="K12" s="42"/>
      <c r="L12" s="7">
        <f>(7191284.4*36.744)/1000000</f>
        <v>264.23655399360001</v>
      </c>
      <c r="M12" s="7"/>
      <c r="N12" s="14"/>
    </row>
    <row r="13" spans="1:23" ht="16.5" customHeight="1" x14ac:dyDescent="0.2">
      <c r="A13" s="23" t="s">
        <v>39</v>
      </c>
      <c r="B13" s="160"/>
      <c r="C13" s="160"/>
      <c r="D13" s="160"/>
      <c r="E13" s="46"/>
      <c r="F13" s="44"/>
      <c r="G13" s="7">
        <f>(24879.1*36.744)/1000000</f>
        <v>0.91415765039999997</v>
      </c>
      <c r="I13" s="160"/>
      <c r="J13" s="14">
        <f>((5897079*0.907185)*36.744)/1000000</f>
        <v>196.57090581392558</v>
      </c>
      <c r="K13" s="42"/>
      <c r="L13" s="7">
        <f>(11636404.4*36.744)/1000000</f>
        <v>427.56804327359998</v>
      </c>
      <c r="M13" s="7"/>
      <c r="N13" s="14"/>
    </row>
    <row r="14" spans="1:23" ht="16.5" customHeight="1" x14ac:dyDescent="0.2">
      <c r="A14" s="23" t="s">
        <v>40</v>
      </c>
      <c r="B14" s="160"/>
      <c r="C14" s="160"/>
      <c r="D14" s="160"/>
      <c r="E14" s="46"/>
      <c r="F14" s="44"/>
      <c r="G14" s="7">
        <f>(12431.7*36.744)/1000000</f>
        <v>0.4567903848</v>
      </c>
      <c r="I14" s="160"/>
      <c r="J14" s="14">
        <f>((5731207*0.907185)*36.744)/1000000</f>
        <v>191.04179397920748</v>
      </c>
      <c r="K14" s="42"/>
      <c r="L14" s="7">
        <f>(10867331.6*36.744)/1000000</f>
        <v>399.30923231040003</v>
      </c>
      <c r="M14" s="7"/>
      <c r="N14" s="14"/>
    </row>
    <row r="15" spans="1:23" ht="16.5" customHeight="1" x14ac:dyDescent="0.2">
      <c r="A15" s="23" t="s">
        <v>41</v>
      </c>
      <c r="B15" s="160"/>
      <c r="C15" s="160"/>
      <c r="D15" s="160"/>
      <c r="E15" s="43">
        <f>N6</f>
        <v>524.54100000000017</v>
      </c>
      <c r="F15" s="44">
        <v>4216.3019999999997</v>
      </c>
      <c r="G15" s="7">
        <f>G12+G13+G14</f>
        <v>3.0070701696</v>
      </c>
      <c r="H15" s="14">
        <f>E15+F15+G15</f>
        <v>4743.8500701696003</v>
      </c>
      <c r="I15" s="160"/>
      <c r="J15" s="14">
        <f>J12+J13+J14</f>
        <v>558.66959717972361</v>
      </c>
      <c r="K15" s="42">
        <f>M15-L15-J15</f>
        <v>147.32664341227689</v>
      </c>
      <c r="L15" s="7">
        <f>L12+L13+L14</f>
        <v>1091.1138295776</v>
      </c>
      <c r="M15" s="7">
        <f>H15-N15</f>
        <v>1797.1100701696005</v>
      </c>
      <c r="N15" s="14">
        <v>2946.74</v>
      </c>
    </row>
    <row r="16" spans="1:23" ht="16.899999999999999" customHeight="1" x14ac:dyDescent="0.2">
      <c r="A16" s="19" t="s">
        <v>42</v>
      </c>
      <c r="B16" s="160"/>
      <c r="C16" s="160"/>
      <c r="D16" s="160"/>
      <c r="E16" s="43"/>
      <c r="F16" s="7"/>
      <c r="G16" s="7">
        <f>(23426.8*36.744)/1000000</f>
        <v>0.86079433919999992</v>
      </c>
      <c r="H16" s="14"/>
      <c r="I16" s="160"/>
      <c r="J16" s="14">
        <f>((5794233*0.907185)*36.744)/1000000</f>
        <v>193.14267780827416</v>
      </c>
      <c r="K16" s="42"/>
      <c r="L16" s="7">
        <f>(10445198.5*36.744)/1000000</f>
        <v>383.79837368400001</v>
      </c>
      <c r="M16" s="7"/>
      <c r="N16" s="14"/>
    </row>
    <row r="17" spans="1:14" ht="16.899999999999999" customHeight="1" x14ac:dyDescent="0.2">
      <c r="A17" s="19" t="s">
        <v>43</v>
      </c>
      <c r="B17" s="160"/>
      <c r="C17" s="160"/>
      <c r="D17" s="160"/>
      <c r="E17" s="43"/>
      <c r="F17" s="7"/>
      <c r="G17" s="7">
        <f>(19638*36.744)/1000000</f>
        <v>0.72157867200000003</v>
      </c>
      <c r="H17" s="14"/>
      <c r="I17" s="160"/>
      <c r="J17" s="14">
        <f>((5895360*0.907185)*36.744)/1000000</f>
        <v>196.5136053458304</v>
      </c>
      <c r="K17" s="42"/>
      <c r="L17" s="7">
        <f>(8829299.6*36.744)/1000000</f>
        <v>324.4237845024</v>
      </c>
      <c r="M17" s="7"/>
      <c r="N17" s="14"/>
    </row>
    <row r="18" spans="1:14" ht="16.899999999999999" customHeight="1" x14ac:dyDescent="0.2">
      <c r="A18" s="19" t="s">
        <v>44</v>
      </c>
      <c r="B18" s="160"/>
      <c r="C18" s="160"/>
      <c r="D18" s="160"/>
      <c r="E18" s="43"/>
      <c r="F18" s="7"/>
      <c r="G18" s="7">
        <f>(22552.9*36.744)/1000000</f>
        <v>0.82868375760000001</v>
      </c>
      <c r="H18" s="14"/>
      <c r="I18" s="160"/>
      <c r="J18" s="14">
        <f>((4930499*0.907185)*36.744)/1000000</f>
        <v>164.35130927441435</v>
      </c>
      <c r="K18" s="42"/>
      <c r="L18" s="7">
        <f>(4558707.1*36.744)/1000000</f>
        <v>167.50513368239999</v>
      </c>
      <c r="M18" s="7"/>
      <c r="N18" s="14"/>
    </row>
    <row r="19" spans="1:14" ht="16.899999999999999" customHeight="1" x14ac:dyDescent="0.2">
      <c r="A19" s="19" t="s">
        <v>45</v>
      </c>
      <c r="B19" s="160"/>
      <c r="C19" s="160"/>
      <c r="D19" s="160"/>
      <c r="E19" s="43">
        <f>N15</f>
        <v>2946.74</v>
      </c>
      <c r="F19" s="7"/>
      <c r="G19" s="7">
        <f>SUM(G16:G18)</f>
        <v>2.4110567688</v>
      </c>
      <c r="H19" s="14">
        <f>E19+F19+G19</f>
        <v>2949.1510567687997</v>
      </c>
      <c r="I19" s="160"/>
      <c r="J19" s="14">
        <f>SUM(J16:J18)</f>
        <v>554.00759242851893</v>
      </c>
      <c r="K19" s="42">
        <f>M19-L19-J19</f>
        <v>-42.267827528519319</v>
      </c>
      <c r="L19" s="7">
        <f>SUM(L16:L18)</f>
        <v>875.72729186880008</v>
      </c>
      <c r="M19" s="7">
        <f>H19-N19</f>
        <v>1387.4670567687997</v>
      </c>
      <c r="N19" s="14">
        <v>1561.684</v>
      </c>
    </row>
    <row r="20" spans="1:14" ht="16.899999999999999" customHeight="1" x14ac:dyDescent="0.2">
      <c r="A20" s="19" t="s">
        <v>46</v>
      </c>
      <c r="B20" s="160"/>
      <c r="C20" s="160"/>
      <c r="D20" s="160"/>
      <c r="E20" s="43"/>
      <c r="F20" s="7"/>
      <c r="G20" s="7">
        <f>(26142.7*36.744)/1000000</f>
        <v>0.96058736880000006</v>
      </c>
      <c r="H20" s="14"/>
      <c r="I20" s="160"/>
      <c r="J20" s="14">
        <f>((5646728*0.907185)*36.744)/1000000</f>
        <v>188.22580430834591</v>
      </c>
      <c r="K20" s="42"/>
      <c r="L20" s="7">
        <f>(2295121.8*36.744)/1000000</f>
        <v>84.331955419199986</v>
      </c>
      <c r="M20" s="7"/>
      <c r="N20" s="47"/>
    </row>
    <row r="21" spans="1:14" ht="16.899999999999999" customHeight="1" x14ac:dyDescent="0.2">
      <c r="A21" s="19" t="s">
        <v>47</v>
      </c>
      <c r="B21" s="160"/>
      <c r="C21" s="160"/>
      <c r="D21" s="160"/>
      <c r="E21" s="43"/>
      <c r="F21" s="7"/>
      <c r="G21" s="7">
        <f>(34734.1*36.744)/1000000</f>
        <v>1.2762697704000001</v>
      </c>
      <c r="H21" s="14"/>
      <c r="I21" s="160"/>
      <c r="J21" s="14">
        <f>((5095631*0.907185)*36.744)/1000000</f>
        <v>169.85575424095885</v>
      </c>
      <c r="K21" s="42"/>
      <c r="L21" s="7">
        <f>(1384924.4*36.744)/1000000</f>
        <v>50.887662153599997</v>
      </c>
      <c r="M21" s="7"/>
      <c r="N21" s="47"/>
    </row>
    <row r="22" spans="1:14" ht="16.899999999999999" customHeight="1" x14ac:dyDescent="0.2">
      <c r="A22" s="19" t="s">
        <v>48</v>
      </c>
      <c r="B22" s="160"/>
      <c r="C22" s="160"/>
      <c r="D22" s="160"/>
      <c r="E22" s="43"/>
      <c r="F22" s="7"/>
      <c r="G22" s="7">
        <f>(51046.1*36.744)/1000000</f>
        <v>1.8756378983999997</v>
      </c>
      <c r="H22" s="14"/>
      <c r="I22" s="160"/>
      <c r="J22" s="14">
        <f>((5205032*0.907185)*36.744)/1000000</f>
        <v>173.50248403158051</v>
      </c>
      <c r="K22" s="42"/>
      <c r="L22" s="7">
        <f>(1266685.1*36.744)/1000000</f>
        <v>46.543077314400001</v>
      </c>
      <c r="M22" s="7"/>
      <c r="N22" s="47"/>
    </row>
    <row r="23" spans="1:14" ht="16.899999999999999" customHeight="1" x14ac:dyDescent="0.2">
      <c r="A23" s="19" t="s">
        <v>49</v>
      </c>
      <c r="B23" s="160"/>
      <c r="C23" s="160"/>
      <c r="D23" s="160"/>
      <c r="E23" s="43">
        <f>N19</f>
        <v>1561.684</v>
      </c>
      <c r="F23" s="7"/>
      <c r="G23" s="7">
        <f>SUM(G20:G22)</f>
        <v>4.1124950375999996</v>
      </c>
      <c r="H23" s="14">
        <f>E23+F23+G23</f>
        <v>1565.7964950375999</v>
      </c>
      <c r="I23" s="160"/>
      <c r="J23" s="15">
        <f>SUM(J20:J22)</f>
        <v>531.58404258088524</v>
      </c>
      <c r="K23" s="42">
        <f>M23-L23-J23</f>
        <v>83.137757569514747</v>
      </c>
      <c r="L23" s="7">
        <f>SUM(L20:L22)</f>
        <v>181.76269488719998</v>
      </c>
      <c r="M23" s="7">
        <f>H23-N23</f>
        <v>796.48449503759991</v>
      </c>
      <c r="N23" s="14">
        <v>769.31200000000001</v>
      </c>
    </row>
    <row r="24" spans="1:14" ht="16.899999999999999" customHeight="1" x14ac:dyDescent="0.2">
      <c r="A24" s="19" t="s">
        <v>50</v>
      </c>
      <c r="B24" s="160"/>
      <c r="C24" s="160"/>
      <c r="D24" s="160"/>
      <c r="E24" s="43"/>
      <c r="F24" s="7"/>
      <c r="G24" s="7">
        <f>(205436.7*36.744)/1000000</f>
        <v>7.5485661048000008</v>
      </c>
      <c r="H24" s="14"/>
      <c r="I24" s="160"/>
      <c r="J24" s="15">
        <f>((4852334*0.907185)*36.744)/1000000</f>
        <v>161.74578798956375</v>
      </c>
      <c r="K24" s="42"/>
      <c r="L24" s="7">
        <f>(925497.6*36.744)/1000000</f>
        <v>34.006483814399999</v>
      </c>
      <c r="M24" s="7"/>
      <c r="N24" s="14"/>
    </row>
    <row r="25" spans="1:14" ht="16.899999999999999" customHeight="1" x14ac:dyDescent="0.2">
      <c r="A25" s="19" t="s">
        <v>51</v>
      </c>
      <c r="B25" s="160"/>
      <c r="C25" s="160"/>
      <c r="D25" s="160"/>
      <c r="E25" s="43"/>
      <c r="F25" s="7"/>
      <c r="G25" s="7">
        <f>(59776.6*36.744)/1000000</f>
        <v>2.1964313903999999</v>
      </c>
      <c r="H25" s="14"/>
      <c r="I25" s="160"/>
      <c r="J25" s="15">
        <f>((4989996*0.907185)*36.744)/1000000</f>
        <v>166.33455880917742</v>
      </c>
      <c r="K25" s="42"/>
      <c r="L25" s="7">
        <f>(945804.5*36.744)/1000000</f>
        <v>34.752640548000002</v>
      </c>
      <c r="M25" s="7"/>
      <c r="N25" s="14"/>
    </row>
    <row r="26" spans="1:14" ht="16.899999999999999" customHeight="1" x14ac:dyDescent="0.2">
      <c r="A26" s="19" t="s">
        <v>52</v>
      </c>
      <c r="B26" s="160"/>
      <c r="C26" s="160"/>
      <c r="D26" s="160"/>
      <c r="E26" s="43"/>
      <c r="F26" s="7"/>
      <c r="G26" s="7">
        <f>(15317.3*36.744)/1000000</f>
        <v>0.56281887119999996</v>
      </c>
      <c r="H26" s="14"/>
      <c r="I26" s="160"/>
      <c r="J26" s="15">
        <f>((5047776*0.907185)*36.744)/1000000</f>
        <v>168.26057454305666</v>
      </c>
      <c r="K26" s="42"/>
      <c r="L26" s="7">
        <f>(1308682.8*36.744)/1000000</f>
        <v>48.086240803199999</v>
      </c>
      <c r="M26" s="7"/>
      <c r="N26" s="14"/>
    </row>
    <row r="27" spans="1:14" ht="16.899999999999999" customHeight="1" x14ac:dyDescent="0.2">
      <c r="A27" s="19" t="s">
        <v>53</v>
      </c>
      <c r="B27" s="160"/>
      <c r="C27" s="160"/>
      <c r="D27" s="160"/>
      <c r="E27" s="43">
        <f>N23</f>
        <v>769.31200000000001</v>
      </c>
      <c r="F27" s="7"/>
      <c r="G27" s="7">
        <f>SUM(G24:G26)</f>
        <v>10.307816366399999</v>
      </c>
      <c r="H27" s="14">
        <f>E27+F27+G27</f>
        <v>779.61981636639996</v>
      </c>
      <c r="I27" s="160"/>
      <c r="J27" s="15">
        <f>SUM(J24:J26)</f>
        <v>496.34092134179787</v>
      </c>
      <c r="K27" s="45">
        <f>M27-L27-J27</f>
        <v>-89.745470140997895</v>
      </c>
      <c r="L27" s="7">
        <f>SUM(L24:L26)</f>
        <v>116.8453651656</v>
      </c>
      <c r="M27" s="7">
        <f>H27-N27</f>
        <v>523.44081636639999</v>
      </c>
      <c r="N27" s="14">
        <v>256.17899999999997</v>
      </c>
    </row>
    <row r="28" spans="1:14" s="59" customFormat="1" ht="16.5" customHeight="1" x14ac:dyDescent="0.2">
      <c r="A28" s="23" t="s">
        <v>27</v>
      </c>
      <c r="B28" s="160"/>
      <c r="C28" s="160"/>
      <c r="D28" s="160"/>
      <c r="E28" s="43"/>
      <c r="F28" s="44">
        <f>F15</f>
        <v>4216.3019999999997</v>
      </c>
      <c r="G28" s="7">
        <f>G15+G19+G23+G27</f>
        <v>19.838438342399996</v>
      </c>
      <c r="H28" s="14">
        <f>E15+F28+G28</f>
        <v>4760.6814383423998</v>
      </c>
      <c r="I28" s="160"/>
      <c r="J28" s="14">
        <f>J15+J19+J23+J27</f>
        <v>2140.6021535309255</v>
      </c>
      <c r="K28" s="42">
        <f>SUM(K15,K19,K23,K27)</f>
        <v>98.451103312274427</v>
      </c>
      <c r="L28" s="7">
        <f>L15+L19+L23+L27</f>
        <v>2265.4491814991998</v>
      </c>
      <c r="M28" s="7">
        <f>M15+M19+M23+M27</f>
        <v>4504.5024383424006</v>
      </c>
      <c r="N28" s="14"/>
    </row>
    <row r="29" spans="1:14" ht="16.5" customHeight="1" x14ac:dyDescent="0.2">
      <c r="A29" s="23"/>
      <c r="B29" s="160"/>
      <c r="C29" s="160"/>
      <c r="D29" s="160"/>
      <c r="E29" s="43"/>
      <c r="F29" s="44"/>
      <c r="G29" s="7"/>
      <c r="H29" s="14"/>
      <c r="I29" s="160"/>
      <c r="J29" s="14"/>
      <c r="K29" s="42"/>
      <c r="L29" s="7"/>
      <c r="M29" s="7"/>
      <c r="N29" s="14"/>
    </row>
    <row r="30" spans="1:14" ht="16.5" customHeight="1" x14ac:dyDescent="0.25">
      <c r="A30" s="55" t="s">
        <v>54</v>
      </c>
      <c r="B30" s="160"/>
      <c r="C30" s="160"/>
      <c r="D30" s="160"/>
      <c r="E30" s="43"/>
      <c r="F30" s="44"/>
      <c r="G30" s="7"/>
      <c r="H30" s="14"/>
      <c r="I30" s="160"/>
      <c r="J30" s="14"/>
      <c r="K30" s="42"/>
      <c r="L30" s="7"/>
      <c r="M30" s="7"/>
      <c r="N30" s="14"/>
    </row>
    <row r="31" spans="1:14" ht="16.5" customHeight="1" x14ac:dyDescent="0.2">
      <c r="A31" s="23" t="s">
        <v>38</v>
      </c>
      <c r="B31" s="160"/>
      <c r="C31" s="160"/>
      <c r="D31" s="160"/>
      <c r="E31" s="43"/>
      <c r="F31" s="44"/>
      <c r="G31" s="7">
        <f>(24320.3*36.744)/1000000</f>
        <v>0.89362510319999999</v>
      </c>
      <c r="I31" s="160"/>
      <c r="J31" s="14">
        <f>((4924574*0.907185)*36.744)/1000000</f>
        <v>164.15380766099736</v>
      </c>
      <c r="K31" s="42"/>
      <c r="L31" s="7">
        <f>(2167640.8*36.744)/1000000</f>
        <v>79.647793555199996</v>
      </c>
      <c r="M31" s="7"/>
      <c r="N31" s="14"/>
    </row>
    <row r="32" spans="1:14" ht="16.5" customHeight="1" x14ac:dyDescent="0.2">
      <c r="A32" s="23" t="s">
        <v>39</v>
      </c>
      <c r="B32" s="160"/>
      <c r="C32" s="160"/>
      <c r="D32" s="160"/>
      <c r="E32" s="43"/>
      <c r="F32" s="44"/>
      <c r="G32" s="7">
        <f>(19235.5*36.744)/1000000</f>
        <v>0.70678921199999989</v>
      </c>
      <c r="I32" s="160"/>
      <c r="J32" s="14">
        <f>((5908157*0.907185)*36.744)/1000000</f>
        <v>196.9401754972055</v>
      </c>
      <c r="K32" s="42"/>
      <c r="L32" s="7">
        <f>(10506970*36.744)/1000000</f>
        <v>386.06810568000003</v>
      </c>
      <c r="M32" s="7"/>
      <c r="N32" s="14"/>
    </row>
    <row r="33" spans="1:73" ht="16.5" customHeight="1" x14ac:dyDescent="0.2">
      <c r="A33" s="23" t="s">
        <v>55</v>
      </c>
      <c r="B33" s="160"/>
      <c r="C33" s="160"/>
      <c r="D33" s="160"/>
      <c r="E33" s="43">
        <f>N27</f>
        <v>256.17899999999997</v>
      </c>
      <c r="F33" s="44"/>
      <c r="G33" s="7">
        <f>SUM(G31:G32)</f>
        <v>1.6004143151999999</v>
      </c>
      <c r="H33" s="14"/>
      <c r="I33" s="160"/>
      <c r="J33" s="14">
        <f>SUM(J31:J32)</f>
        <v>361.09398315820283</v>
      </c>
      <c r="K33" s="42"/>
      <c r="L33" s="7">
        <f>SUM(L31:L32)</f>
        <v>465.71589923520003</v>
      </c>
      <c r="M33" s="7"/>
      <c r="N33" s="14"/>
    </row>
    <row r="34" spans="1:73" ht="16.5" customHeight="1" x14ac:dyDescent="0.2">
      <c r="A34" s="132" t="s">
        <v>56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33"/>
      <c r="M34" s="100"/>
      <c r="N34" s="100"/>
    </row>
    <row r="35" spans="1:73" ht="16.5" customHeight="1" x14ac:dyDescent="0.2">
      <c r="A35" s="19" t="s">
        <v>57</v>
      </c>
      <c r="B35" s="19"/>
      <c r="C35" s="19"/>
      <c r="D35" s="1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73" ht="16.5" customHeight="1" x14ac:dyDescent="0.2">
      <c r="A36" s="25" t="s">
        <v>58</v>
      </c>
      <c r="B36" s="50">
        <f ca="1">NOW()</f>
        <v>44540.67973773148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61"/>
      <c r="P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</row>
    <row r="37" spans="1:73" x14ac:dyDescent="0.2">
      <c r="O37" s="161"/>
      <c r="P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</row>
    <row r="38" spans="1:73" x14ac:dyDescent="0.2">
      <c r="O38" s="161"/>
      <c r="P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</row>
    <row r="39" spans="1:73" x14ac:dyDescent="0.2">
      <c r="O39" s="161"/>
      <c r="P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</row>
    <row r="40" spans="1:73" x14ac:dyDescent="0.2">
      <c r="F40" s="51"/>
      <c r="O40" s="161"/>
      <c r="P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</row>
    <row r="41" spans="1:73" x14ac:dyDescent="0.2">
      <c r="O41" s="161"/>
      <c r="P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</row>
    <row r="42" spans="1:73" x14ac:dyDescent="0.2">
      <c r="O42" s="161"/>
      <c r="P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</row>
    <row r="43" spans="1:73" x14ac:dyDescent="0.2">
      <c r="O43" s="161"/>
      <c r="P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</row>
    <row r="44" spans="1:73" x14ac:dyDescent="0.2">
      <c r="O44" s="161"/>
      <c r="P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</row>
    <row r="45" spans="1:73" x14ac:dyDescent="0.2">
      <c r="O45" s="161"/>
      <c r="P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</row>
    <row r="46" spans="1:73" x14ac:dyDescent="0.2">
      <c r="O46" s="161"/>
      <c r="P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</row>
    <row r="47" spans="1:73" x14ac:dyDescent="0.2">
      <c r="O47" s="161"/>
      <c r="P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</row>
    <row r="48" spans="1:73" x14ac:dyDescent="0.2">
      <c r="O48" s="161"/>
      <c r="P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</row>
    <row r="49" spans="15:73" x14ac:dyDescent="0.2">
      <c r="O49" s="161"/>
      <c r="P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</row>
    <row r="50" spans="15:73" x14ac:dyDescent="0.2">
      <c r="O50" s="161"/>
      <c r="P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1"/>
      <c r="BK50" s="161"/>
      <c r="BL50" s="161"/>
      <c r="BM50" s="161"/>
      <c r="BN50" s="161"/>
      <c r="BO50" s="161"/>
      <c r="BP50" s="161"/>
      <c r="BQ50" s="161"/>
      <c r="BR50" s="161"/>
      <c r="BS50" s="161"/>
      <c r="BT50" s="161"/>
      <c r="BU50" s="161"/>
    </row>
    <row r="51" spans="15:73" x14ac:dyDescent="0.2">
      <c r="O51" s="161"/>
      <c r="P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</row>
    <row r="52" spans="15:73" x14ac:dyDescent="0.2">
      <c r="O52" s="161"/>
      <c r="P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</row>
    <row r="53" spans="15:73" x14ac:dyDescent="0.2">
      <c r="O53" s="161"/>
      <c r="P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</row>
    <row r="54" spans="15:73" x14ac:dyDescent="0.2">
      <c r="O54" s="161"/>
      <c r="P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</row>
    <row r="55" spans="15:73" x14ac:dyDescent="0.2">
      <c r="O55" s="161"/>
      <c r="P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</row>
    <row r="56" spans="15:73" x14ac:dyDescent="0.2">
      <c r="O56" s="161"/>
      <c r="P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</row>
    <row r="57" spans="15:73" x14ac:dyDescent="0.2">
      <c r="O57" s="161"/>
      <c r="P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</row>
    <row r="58" spans="15:73" x14ac:dyDescent="0.2">
      <c r="O58" s="161"/>
      <c r="P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</row>
    <row r="59" spans="15:73" x14ac:dyDescent="0.2">
      <c r="O59" s="161"/>
      <c r="P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</row>
    <row r="60" spans="15:73" x14ac:dyDescent="0.2">
      <c r="O60" s="161"/>
      <c r="P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</row>
    <row r="61" spans="15:73" x14ac:dyDescent="0.2">
      <c r="O61" s="161"/>
      <c r="P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</row>
    <row r="62" spans="15:73" x14ac:dyDescent="0.2">
      <c r="O62" s="161"/>
      <c r="P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</row>
    <row r="63" spans="15:73" x14ac:dyDescent="0.2">
      <c r="O63" s="161"/>
      <c r="P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</row>
    <row r="64" spans="15:73" x14ac:dyDescent="0.2"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</row>
    <row r="65" spans="15:73" x14ac:dyDescent="0.2"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</row>
    <row r="66" spans="15:73" x14ac:dyDescent="0.2"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</row>
    <row r="67" spans="15:73" x14ac:dyDescent="0.2"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</row>
    <row r="68" spans="15:73" x14ac:dyDescent="0.2"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</row>
    <row r="69" spans="15:73" x14ac:dyDescent="0.2"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</row>
    <row r="70" spans="15:73" x14ac:dyDescent="0.2"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</row>
    <row r="71" spans="15:73" x14ac:dyDescent="0.2"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</row>
    <row r="72" spans="15:73" x14ac:dyDescent="0.2"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</row>
    <row r="73" spans="15:73" x14ac:dyDescent="0.2"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</row>
    <row r="74" spans="15:73" x14ac:dyDescent="0.2"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</row>
    <row r="75" spans="15:73" x14ac:dyDescent="0.2"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</row>
    <row r="76" spans="15:73" x14ac:dyDescent="0.2"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</row>
    <row r="77" spans="15:73" x14ac:dyDescent="0.2"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</row>
    <row r="78" spans="15:73" x14ac:dyDescent="0.2"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</row>
    <row r="79" spans="15:73" x14ac:dyDescent="0.2"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</row>
    <row r="80" spans="15:73" x14ac:dyDescent="0.2"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</row>
    <row r="81" spans="15:73" x14ac:dyDescent="0.2"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</row>
    <row r="82" spans="15:73" x14ac:dyDescent="0.2"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</row>
    <row r="83" spans="15:73" x14ac:dyDescent="0.2"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</row>
    <row r="84" spans="15:73" x14ac:dyDescent="0.2"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</row>
    <row r="85" spans="15:73" x14ac:dyDescent="0.2"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</row>
    <row r="86" spans="15:73" x14ac:dyDescent="0.2"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</row>
    <row r="87" spans="15:73" x14ac:dyDescent="0.2"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</row>
    <row r="88" spans="15:73" x14ac:dyDescent="0.2"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</row>
    <row r="89" spans="15:73" x14ac:dyDescent="0.2"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</row>
    <row r="90" spans="15:73" x14ac:dyDescent="0.2"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</row>
    <row r="91" spans="15:73" x14ac:dyDescent="0.2"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</row>
    <row r="92" spans="15:73" x14ac:dyDescent="0.2"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</row>
    <row r="93" spans="15:73" x14ac:dyDescent="0.2"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</row>
    <row r="94" spans="15:73" x14ac:dyDescent="0.2"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</row>
    <row r="95" spans="15:73" x14ac:dyDescent="0.2"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</row>
    <row r="96" spans="15:73" x14ac:dyDescent="0.2"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</row>
    <row r="97" spans="15:73" x14ac:dyDescent="0.2"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</row>
    <row r="98" spans="15:73" x14ac:dyDescent="0.2"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</row>
    <row r="99" spans="15:73" x14ac:dyDescent="0.2"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</row>
    <row r="100" spans="15:73" x14ac:dyDescent="0.2"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</row>
    <row r="101" spans="15:73" x14ac:dyDescent="0.2"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</row>
    <row r="102" spans="15:73" x14ac:dyDescent="0.2"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</row>
    <row r="103" spans="15:73" x14ac:dyDescent="0.2"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</row>
    <row r="104" spans="15:73" x14ac:dyDescent="0.2"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</row>
    <row r="105" spans="15:73" x14ac:dyDescent="0.2"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</row>
    <row r="106" spans="15:73" x14ac:dyDescent="0.2"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</row>
    <row r="107" spans="15:73" x14ac:dyDescent="0.2"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</row>
    <row r="108" spans="15:73" x14ac:dyDescent="0.2"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</row>
    <row r="109" spans="15:73" x14ac:dyDescent="0.2"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</row>
    <row r="110" spans="15:73" x14ac:dyDescent="0.2"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</row>
    <row r="111" spans="15:73" x14ac:dyDescent="0.2"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</row>
    <row r="112" spans="15:73" x14ac:dyDescent="0.2"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</row>
    <row r="113" spans="15:73" x14ac:dyDescent="0.2"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</row>
    <row r="114" spans="15:73" x14ac:dyDescent="0.2"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</row>
    <row r="115" spans="15:73" x14ac:dyDescent="0.2"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</row>
    <row r="116" spans="15:73" x14ac:dyDescent="0.2"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</row>
    <row r="117" spans="15:73" x14ac:dyDescent="0.2"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</row>
    <row r="118" spans="15:73" x14ac:dyDescent="0.2"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</row>
    <row r="119" spans="15:73" x14ac:dyDescent="0.2"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</row>
    <row r="120" spans="15:73" x14ac:dyDescent="0.2"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</row>
    <row r="121" spans="15:73" x14ac:dyDescent="0.2"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</row>
    <row r="122" spans="15:73" x14ac:dyDescent="0.2"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</row>
    <row r="123" spans="15:73" x14ac:dyDescent="0.2"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</row>
    <row r="124" spans="15:73" x14ac:dyDescent="0.2"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</row>
    <row r="125" spans="15:73" x14ac:dyDescent="0.2"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</row>
    <row r="126" spans="15:73" x14ac:dyDescent="0.2"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</row>
    <row r="127" spans="15:73" x14ac:dyDescent="0.2"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</row>
    <row r="128" spans="15:73" x14ac:dyDescent="0.2"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</row>
    <row r="129" spans="15:73" x14ac:dyDescent="0.2"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</row>
    <row r="130" spans="15:73" x14ac:dyDescent="0.2"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</row>
    <row r="131" spans="15:73" x14ac:dyDescent="0.2"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</row>
    <row r="132" spans="15:73" x14ac:dyDescent="0.2"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</row>
    <row r="133" spans="15:73" x14ac:dyDescent="0.2"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</row>
    <row r="134" spans="15:73" x14ac:dyDescent="0.2"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</row>
    <row r="135" spans="15:73" x14ac:dyDescent="0.2"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</row>
    <row r="136" spans="15:73" x14ac:dyDescent="0.2"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</row>
    <row r="137" spans="15:73" x14ac:dyDescent="0.2"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</row>
    <row r="138" spans="15:73" x14ac:dyDescent="0.2"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</row>
    <row r="139" spans="15:73" x14ac:dyDescent="0.2"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</row>
    <row r="140" spans="15:73" x14ac:dyDescent="0.2"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</row>
    <row r="141" spans="15:73" x14ac:dyDescent="0.2"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</row>
    <row r="142" spans="15:73" x14ac:dyDescent="0.2"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</row>
    <row r="143" spans="15:73" x14ac:dyDescent="0.2"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</row>
    <row r="144" spans="15:73" x14ac:dyDescent="0.2"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</row>
    <row r="145" spans="15:73" x14ac:dyDescent="0.2"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</row>
    <row r="146" spans="15:73" x14ac:dyDescent="0.2"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</row>
    <row r="147" spans="15:73" x14ac:dyDescent="0.2"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</row>
    <row r="148" spans="15:73" x14ac:dyDescent="0.2"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</row>
    <row r="149" spans="15:73" x14ac:dyDescent="0.2"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</row>
    <row r="150" spans="15:73" x14ac:dyDescent="0.2"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</row>
    <row r="151" spans="15:73" x14ac:dyDescent="0.2"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</row>
    <row r="152" spans="15:73" x14ac:dyDescent="0.2"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</row>
    <row r="153" spans="15:73" x14ac:dyDescent="0.2"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</row>
    <row r="154" spans="15:73" x14ac:dyDescent="0.2"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</row>
    <row r="155" spans="15:73" x14ac:dyDescent="0.2"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</row>
    <row r="156" spans="15:73" x14ac:dyDescent="0.2"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</row>
    <row r="157" spans="15:73" x14ac:dyDescent="0.2"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</row>
    <row r="158" spans="15:73" x14ac:dyDescent="0.2"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</row>
    <row r="159" spans="15:73" x14ac:dyDescent="0.2"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</row>
    <row r="160" spans="15:73" x14ac:dyDescent="0.2"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</row>
    <row r="161" spans="15:73" x14ac:dyDescent="0.2"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</row>
    <row r="162" spans="15:73" x14ac:dyDescent="0.2"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</row>
    <row r="163" spans="15:73" x14ac:dyDescent="0.2"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</row>
    <row r="164" spans="15:73" x14ac:dyDescent="0.2"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</row>
    <row r="165" spans="15:73" x14ac:dyDescent="0.2"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</row>
    <row r="166" spans="15:73" x14ac:dyDescent="0.2"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</row>
    <row r="167" spans="15:73" x14ac:dyDescent="0.2"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</row>
    <row r="168" spans="15:73" x14ac:dyDescent="0.2"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</row>
    <row r="169" spans="15:73" x14ac:dyDescent="0.2"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</row>
    <row r="170" spans="15:73" x14ac:dyDescent="0.2"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</row>
    <row r="171" spans="15:73" x14ac:dyDescent="0.2"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</row>
    <row r="172" spans="15:73" x14ac:dyDescent="0.2"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</row>
    <row r="173" spans="15:73" x14ac:dyDescent="0.2"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</row>
    <row r="174" spans="15:73" x14ac:dyDescent="0.2"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</row>
    <row r="175" spans="15:73" x14ac:dyDescent="0.2"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</row>
    <row r="176" spans="15:73" x14ac:dyDescent="0.2"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</row>
    <row r="177" spans="15:73" x14ac:dyDescent="0.2"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</row>
    <row r="178" spans="15:73" x14ac:dyDescent="0.2"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</row>
    <row r="179" spans="15:73" x14ac:dyDescent="0.2"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</row>
    <row r="180" spans="15:73" x14ac:dyDescent="0.2"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</row>
    <row r="181" spans="15:73" x14ac:dyDescent="0.2"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</row>
    <row r="182" spans="15:73" x14ac:dyDescent="0.2"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</row>
    <row r="183" spans="15:73" x14ac:dyDescent="0.2"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</row>
    <row r="184" spans="15:73" x14ac:dyDescent="0.2"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</row>
    <row r="185" spans="15:73" x14ac:dyDescent="0.2"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</row>
    <row r="186" spans="15:73" x14ac:dyDescent="0.2"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</row>
    <row r="187" spans="15:73" x14ac:dyDescent="0.2"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</row>
    <row r="188" spans="15:73" x14ac:dyDescent="0.2"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</row>
    <row r="189" spans="15:73" x14ac:dyDescent="0.2"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</row>
    <row r="190" spans="15:73" x14ac:dyDescent="0.2"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</row>
    <row r="191" spans="15:73" x14ac:dyDescent="0.2"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</row>
    <row r="192" spans="15:73" x14ac:dyDescent="0.2"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</row>
    <row r="193" spans="15:73" x14ac:dyDescent="0.2"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</row>
    <row r="194" spans="15:73" x14ac:dyDescent="0.2"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</row>
    <row r="195" spans="15:73" x14ac:dyDescent="0.2"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</row>
    <row r="196" spans="15:73" x14ac:dyDescent="0.2"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</row>
    <row r="197" spans="15:73" x14ac:dyDescent="0.2"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</row>
    <row r="198" spans="15:73" x14ac:dyDescent="0.2"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</row>
    <row r="199" spans="15:73" x14ac:dyDescent="0.2"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</row>
    <row r="200" spans="15:73" x14ac:dyDescent="0.2"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</row>
    <row r="201" spans="15:73" x14ac:dyDescent="0.2"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</row>
    <row r="202" spans="15:73" x14ac:dyDescent="0.2"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</row>
    <row r="203" spans="15:73" x14ac:dyDescent="0.2"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</row>
    <row r="204" spans="15:73" x14ac:dyDescent="0.2"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</row>
    <row r="205" spans="15:73" x14ac:dyDescent="0.2"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</row>
    <row r="206" spans="15:73" x14ac:dyDescent="0.2"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</row>
    <row r="207" spans="15:73" x14ac:dyDescent="0.2"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</row>
    <row r="208" spans="15:73" x14ac:dyDescent="0.2"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</row>
    <row r="209" spans="15:73" x14ac:dyDescent="0.2"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</row>
    <row r="210" spans="15:73" x14ac:dyDescent="0.2"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</row>
    <row r="211" spans="15:73" x14ac:dyDescent="0.2"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BT211" s="161"/>
      <c r="BU211" s="161"/>
    </row>
    <row r="212" spans="15:73" x14ac:dyDescent="0.2"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</row>
    <row r="213" spans="15:73" x14ac:dyDescent="0.2"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</row>
    <row r="214" spans="15:73" x14ac:dyDescent="0.2"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</row>
    <row r="215" spans="15:73" x14ac:dyDescent="0.2"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</row>
    <row r="216" spans="15:73" x14ac:dyDescent="0.2"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</row>
    <row r="217" spans="15:73" x14ac:dyDescent="0.2"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</row>
    <row r="218" spans="15:73" x14ac:dyDescent="0.2"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</row>
    <row r="219" spans="15:73" x14ac:dyDescent="0.2"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</row>
    <row r="220" spans="15:73" x14ac:dyDescent="0.2"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</row>
    <row r="221" spans="15:73" x14ac:dyDescent="0.2"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</row>
    <row r="222" spans="15:73" x14ac:dyDescent="0.2"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</row>
    <row r="223" spans="15:73" x14ac:dyDescent="0.2"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</row>
    <row r="224" spans="15:73" x14ac:dyDescent="0.2"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</row>
    <row r="225" spans="15:73" x14ac:dyDescent="0.2"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</row>
    <row r="226" spans="15:73" x14ac:dyDescent="0.2"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</row>
    <row r="227" spans="15:73" x14ac:dyDescent="0.2"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</row>
    <row r="228" spans="15:73" x14ac:dyDescent="0.2"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1"/>
      <c r="BU228" s="161"/>
    </row>
    <row r="229" spans="15:73" x14ac:dyDescent="0.2"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</row>
    <row r="230" spans="15:73" x14ac:dyDescent="0.2"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61"/>
      <c r="BU230" s="161"/>
    </row>
    <row r="231" spans="15:73" x14ac:dyDescent="0.2"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</row>
    <row r="232" spans="15:73" x14ac:dyDescent="0.2"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</row>
    <row r="233" spans="15:73" x14ac:dyDescent="0.2"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161"/>
    </row>
    <row r="234" spans="15:73" x14ac:dyDescent="0.2"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</row>
    <row r="235" spans="15:73" x14ac:dyDescent="0.2"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</row>
    <row r="236" spans="15:73" x14ac:dyDescent="0.2"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</row>
    <row r="237" spans="15:73" x14ac:dyDescent="0.2"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161"/>
    </row>
    <row r="238" spans="15:73" x14ac:dyDescent="0.2"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1"/>
      <c r="BU238" s="161"/>
    </row>
    <row r="239" spans="15:73" x14ac:dyDescent="0.2"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161"/>
    </row>
    <row r="240" spans="15:73" x14ac:dyDescent="0.2"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1"/>
      <c r="BU240" s="161"/>
    </row>
    <row r="241" spans="15:73" x14ac:dyDescent="0.2"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</row>
    <row r="242" spans="15:73" x14ac:dyDescent="0.2"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161"/>
    </row>
    <row r="243" spans="15:73" x14ac:dyDescent="0.2"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161"/>
    </row>
    <row r="244" spans="15:73" x14ac:dyDescent="0.2"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BT244" s="161"/>
      <c r="BU244" s="161"/>
    </row>
    <row r="245" spans="15:73" x14ac:dyDescent="0.2"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1"/>
      <c r="BU245" s="161"/>
    </row>
    <row r="246" spans="15:73" x14ac:dyDescent="0.2"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</row>
    <row r="247" spans="15:73" x14ac:dyDescent="0.2"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</row>
    <row r="248" spans="15:73" x14ac:dyDescent="0.2"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BT248" s="161"/>
      <c r="BU248" s="161"/>
    </row>
    <row r="249" spans="15:73" x14ac:dyDescent="0.2"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BT249" s="161"/>
      <c r="BU249" s="161"/>
    </row>
    <row r="250" spans="15:73" x14ac:dyDescent="0.2"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  <c r="BR250" s="161"/>
      <c r="BS250" s="161"/>
      <c r="BT250" s="161"/>
      <c r="BU250" s="161"/>
    </row>
    <row r="251" spans="15:73" x14ac:dyDescent="0.2"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  <c r="BR251" s="161"/>
      <c r="BS251" s="161"/>
      <c r="BT251" s="161"/>
      <c r="BU251" s="161"/>
    </row>
    <row r="252" spans="15:73" x14ac:dyDescent="0.2"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</row>
    <row r="253" spans="15:73" x14ac:dyDescent="0.2"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1"/>
      <c r="BU253" s="161"/>
    </row>
    <row r="254" spans="15:73" x14ac:dyDescent="0.2"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BT254" s="161"/>
      <c r="BU254" s="161"/>
    </row>
    <row r="255" spans="15:73" x14ac:dyDescent="0.2"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  <c r="BR255" s="161"/>
      <c r="BS255" s="161"/>
      <c r="BT255" s="161"/>
      <c r="BU255" s="161"/>
    </row>
    <row r="256" spans="15:73" x14ac:dyDescent="0.2"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  <c r="BR256" s="161"/>
      <c r="BS256" s="161"/>
      <c r="BT256" s="161"/>
      <c r="BU256" s="161"/>
    </row>
    <row r="257" spans="15:73" x14ac:dyDescent="0.2"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</row>
    <row r="258" spans="15:73" x14ac:dyDescent="0.2"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</row>
    <row r="259" spans="15:73" x14ac:dyDescent="0.2"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  <c r="BR259" s="161"/>
      <c r="BS259" s="161"/>
      <c r="BT259" s="161"/>
      <c r="BU259" s="161"/>
    </row>
    <row r="260" spans="15:73" x14ac:dyDescent="0.2"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BT260" s="161"/>
      <c r="BU260" s="161"/>
    </row>
    <row r="261" spans="15:73" x14ac:dyDescent="0.2"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BT261" s="161"/>
      <c r="BU261" s="161"/>
    </row>
    <row r="262" spans="15:73" x14ac:dyDescent="0.2"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</row>
    <row r="263" spans="15:73" x14ac:dyDescent="0.2"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</row>
    <row r="264" spans="15:73" x14ac:dyDescent="0.2"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  <c r="BR264" s="161"/>
      <c r="BS264" s="161"/>
      <c r="BT264" s="161"/>
      <c r="BU264" s="161"/>
    </row>
    <row r="265" spans="15:73" x14ac:dyDescent="0.2"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  <c r="BR265" s="161"/>
      <c r="BS265" s="161"/>
      <c r="BT265" s="161"/>
      <c r="BU265" s="161"/>
    </row>
    <row r="266" spans="15:73" x14ac:dyDescent="0.2"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</row>
    <row r="267" spans="15:73" x14ac:dyDescent="0.2"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BT267" s="161"/>
      <c r="BU267" s="161"/>
    </row>
    <row r="268" spans="15:73" x14ac:dyDescent="0.2"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</row>
    <row r="269" spans="15:73" x14ac:dyDescent="0.2"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</row>
    <row r="270" spans="15:73" x14ac:dyDescent="0.2"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BT270" s="161"/>
      <c r="BU270" s="161"/>
    </row>
    <row r="271" spans="15:73" x14ac:dyDescent="0.2"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</row>
    <row r="272" spans="15:73" x14ac:dyDescent="0.2"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BT272" s="161"/>
      <c r="BU272" s="161"/>
    </row>
    <row r="273" spans="15:73" x14ac:dyDescent="0.2"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  <c r="BR273" s="161"/>
      <c r="BS273" s="161"/>
      <c r="BT273" s="161"/>
      <c r="BU273" s="161"/>
    </row>
    <row r="274" spans="15:73" x14ac:dyDescent="0.2"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</row>
    <row r="275" spans="15:73" x14ac:dyDescent="0.2"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  <c r="BR275" s="161"/>
      <c r="BS275" s="161"/>
      <c r="BT275" s="161"/>
      <c r="BU275" s="161"/>
    </row>
    <row r="276" spans="15:73" x14ac:dyDescent="0.2"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  <c r="BR276" s="161"/>
      <c r="BS276" s="161"/>
      <c r="BT276" s="161"/>
      <c r="BU276" s="161"/>
    </row>
    <row r="277" spans="15:73" x14ac:dyDescent="0.2"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</row>
    <row r="278" spans="15:73" x14ac:dyDescent="0.2"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  <c r="BR278" s="161"/>
      <c r="BS278" s="161"/>
      <c r="BT278" s="161"/>
      <c r="BU278" s="161"/>
    </row>
    <row r="279" spans="15:73" x14ac:dyDescent="0.2"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</row>
    <row r="280" spans="15:73" x14ac:dyDescent="0.2"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</row>
    <row r="281" spans="15:73" x14ac:dyDescent="0.2"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</row>
    <row r="282" spans="15:73" x14ac:dyDescent="0.2"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  <c r="BR282" s="161"/>
      <c r="BS282" s="161"/>
      <c r="BT282" s="161"/>
      <c r="BU282" s="161"/>
    </row>
    <row r="283" spans="15:73" x14ac:dyDescent="0.2"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</row>
    <row r="284" spans="15:73" x14ac:dyDescent="0.2"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  <c r="BR284" s="161"/>
      <c r="BS284" s="161"/>
      <c r="BT284" s="161"/>
      <c r="BU284" s="161"/>
    </row>
    <row r="285" spans="15:73" x14ac:dyDescent="0.2"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</row>
    <row r="286" spans="15:73" x14ac:dyDescent="0.2"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</row>
    <row r="287" spans="15:73" x14ac:dyDescent="0.2"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BT287" s="161"/>
      <c r="BU287" s="161"/>
    </row>
    <row r="288" spans="15:73" x14ac:dyDescent="0.2"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BT288" s="161"/>
      <c r="BU288" s="161"/>
    </row>
    <row r="289" spans="15:73" x14ac:dyDescent="0.2"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</row>
    <row r="290" spans="15:73" x14ac:dyDescent="0.2"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</row>
    <row r="291" spans="15:73" x14ac:dyDescent="0.2"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</row>
    <row r="292" spans="15:73" x14ac:dyDescent="0.2"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  <c r="BR292" s="161"/>
      <c r="BS292" s="161"/>
      <c r="BT292" s="161"/>
      <c r="BU292" s="161"/>
    </row>
    <row r="293" spans="15:73" x14ac:dyDescent="0.2"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BT293" s="161"/>
      <c r="BU293" s="161"/>
    </row>
    <row r="294" spans="15:73" x14ac:dyDescent="0.2"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  <c r="BR294" s="161"/>
      <c r="BS294" s="161"/>
      <c r="BT294" s="161"/>
      <c r="BU294" s="161"/>
    </row>
    <row r="295" spans="15:73" x14ac:dyDescent="0.2"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BT295" s="161"/>
      <c r="BU295" s="161"/>
    </row>
    <row r="296" spans="15:73" x14ac:dyDescent="0.2"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</row>
    <row r="297" spans="15:73" x14ac:dyDescent="0.2"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BT297" s="161"/>
      <c r="BU297" s="161"/>
    </row>
    <row r="298" spans="15:73" x14ac:dyDescent="0.2"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BT298" s="161"/>
      <c r="BU298" s="161"/>
    </row>
    <row r="299" spans="15:73" x14ac:dyDescent="0.2"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BT299" s="161"/>
      <c r="BU299" s="161"/>
    </row>
    <row r="300" spans="15:73" x14ac:dyDescent="0.2"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</row>
    <row r="301" spans="15:73" x14ac:dyDescent="0.2"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BT301" s="161"/>
      <c r="BU301" s="161"/>
    </row>
    <row r="302" spans="15:73" x14ac:dyDescent="0.2"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BT302" s="161"/>
      <c r="BU302" s="161"/>
    </row>
    <row r="303" spans="15:73" x14ac:dyDescent="0.2"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  <c r="BR303" s="161"/>
      <c r="BS303" s="161"/>
      <c r="BT303" s="161"/>
      <c r="BU303" s="161"/>
    </row>
    <row r="304" spans="15:73" x14ac:dyDescent="0.2"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BT304" s="161"/>
      <c r="BU304" s="161"/>
    </row>
    <row r="305" spans="15:73" x14ac:dyDescent="0.2"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  <c r="BR305" s="161"/>
      <c r="BS305" s="161"/>
      <c r="BT305" s="161"/>
      <c r="BU305" s="161"/>
    </row>
    <row r="306" spans="15:73" x14ac:dyDescent="0.2"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BT306" s="161"/>
      <c r="BU306" s="161"/>
    </row>
    <row r="307" spans="15:73" x14ac:dyDescent="0.2"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  <c r="BR307" s="161"/>
      <c r="BS307" s="161"/>
      <c r="BT307" s="161"/>
      <c r="BU307" s="161"/>
    </row>
    <row r="308" spans="15:73" x14ac:dyDescent="0.2"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</row>
    <row r="309" spans="15:73" x14ac:dyDescent="0.2"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  <c r="BR309" s="161"/>
      <c r="BS309" s="161"/>
      <c r="BT309" s="161"/>
      <c r="BU309" s="161"/>
    </row>
    <row r="310" spans="15:73" x14ac:dyDescent="0.2"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</row>
    <row r="311" spans="15:73" x14ac:dyDescent="0.2"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</row>
    <row r="312" spans="15:73" x14ac:dyDescent="0.2"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</row>
    <row r="313" spans="15:73" x14ac:dyDescent="0.2"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</row>
    <row r="314" spans="15:73" x14ac:dyDescent="0.2"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</row>
    <row r="315" spans="15:73" x14ac:dyDescent="0.2"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</row>
    <row r="316" spans="15:73" x14ac:dyDescent="0.2"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</row>
    <row r="317" spans="15:73" x14ac:dyDescent="0.2"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</row>
    <row r="318" spans="15:73" x14ac:dyDescent="0.2"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  <c r="BR318" s="161"/>
      <c r="BS318" s="161"/>
      <c r="BT318" s="161"/>
      <c r="BU318" s="161"/>
    </row>
    <row r="319" spans="15:73" x14ac:dyDescent="0.2"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BT319" s="161"/>
      <c r="BU319" s="161"/>
    </row>
    <row r="320" spans="15:73" x14ac:dyDescent="0.2"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BT320" s="161"/>
      <c r="BU320" s="161"/>
    </row>
    <row r="321" spans="15:73" x14ac:dyDescent="0.2"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BT321" s="161"/>
      <c r="BU321" s="161"/>
    </row>
    <row r="322" spans="15:73" x14ac:dyDescent="0.2"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BT322" s="161"/>
      <c r="BU322" s="161"/>
    </row>
    <row r="323" spans="15:73" x14ac:dyDescent="0.2"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  <c r="BR323" s="161"/>
      <c r="BS323" s="161"/>
      <c r="BT323" s="161"/>
      <c r="BU323" s="161"/>
    </row>
    <row r="324" spans="15:73" x14ac:dyDescent="0.2"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  <c r="BR324" s="161"/>
      <c r="BS324" s="161"/>
      <c r="BT324" s="161"/>
      <c r="BU324" s="161"/>
    </row>
    <row r="325" spans="15:73" x14ac:dyDescent="0.2"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  <c r="BR325" s="161"/>
      <c r="BS325" s="161"/>
      <c r="BT325" s="161"/>
      <c r="BU325" s="161"/>
    </row>
    <row r="326" spans="15:73" x14ac:dyDescent="0.2"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  <c r="BR326" s="161"/>
      <c r="BS326" s="161"/>
      <c r="BT326" s="161"/>
      <c r="BU326" s="161"/>
    </row>
    <row r="327" spans="15:73" x14ac:dyDescent="0.2"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  <c r="BR327" s="161"/>
      <c r="BS327" s="161"/>
      <c r="BT327" s="161"/>
      <c r="BU327" s="161"/>
    </row>
    <row r="328" spans="15:73" x14ac:dyDescent="0.2"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  <c r="BR328" s="161"/>
      <c r="BS328" s="161"/>
      <c r="BT328" s="161"/>
      <c r="BU328" s="161"/>
    </row>
    <row r="329" spans="15:73" x14ac:dyDescent="0.2"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  <c r="BR329" s="161"/>
      <c r="BS329" s="161"/>
      <c r="BT329" s="161"/>
      <c r="BU329" s="161"/>
    </row>
    <row r="330" spans="15:73" x14ac:dyDescent="0.2"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  <c r="BR330" s="161"/>
      <c r="BS330" s="161"/>
      <c r="BT330" s="161"/>
      <c r="BU330" s="161"/>
    </row>
    <row r="331" spans="15:73" x14ac:dyDescent="0.2"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  <c r="BR331" s="161"/>
      <c r="BS331" s="161"/>
      <c r="BT331" s="161"/>
      <c r="BU331" s="161"/>
    </row>
    <row r="332" spans="15:73" x14ac:dyDescent="0.2"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  <c r="BR332" s="161"/>
      <c r="BS332" s="161"/>
      <c r="BT332" s="161"/>
      <c r="BU332" s="161"/>
    </row>
    <row r="333" spans="15:73" x14ac:dyDescent="0.2"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  <c r="BR333" s="161"/>
      <c r="BS333" s="161"/>
      <c r="BT333" s="161"/>
      <c r="BU333" s="161"/>
    </row>
    <row r="334" spans="15:73" x14ac:dyDescent="0.2"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</row>
    <row r="335" spans="15:73" x14ac:dyDescent="0.2"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  <c r="BR335" s="161"/>
      <c r="BS335" s="161"/>
      <c r="BT335" s="161"/>
      <c r="BU335" s="161"/>
    </row>
    <row r="336" spans="15:73" x14ac:dyDescent="0.2"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BT336" s="161"/>
      <c r="BU336" s="161"/>
    </row>
    <row r="337" spans="15:73" x14ac:dyDescent="0.2"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  <c r="BR337" s="161"/>
      <c r="BS337" s="161"/>
      <c r="BT337" s="161"/>
      <c r="BU337" s="161"/>
    </row>
    <row r="338" spans="15:73" x14ac:dyDescent="0.2"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  <c r="BR338" s="161"/>
      <c r="BS338" s="161"/>
      <c r="BT338" s="161"/>
      <c r="BU338" s="161"/>
    </row>
    <row r="339" spans="15:73" x14ac:dyDescent="0.2"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  <c r="BR339" s="161"/>
      <c r="BS339" s="161"/>
      <c r="BT339" s="161"/>
      <c r="BU339" s="161"/>
    </row>
    <row r="340" spans="15:73" x14ac:dyDescent="0.2"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  <c r="BR340" s="161"/>
      <c r="BS340" s="161"/>
      <c r="BT340" s="161"/>
      <c r="BU340" s="161"/>
    </row>
    <row r="341" spans="15:73" x14ac:dyDescent="0.2"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  <c r="BR341" s="161"/>
      <c r="BS341" s="161"/>
      <c r="BT341" s="161"/>
      <c r="BU341" s="161"/>
    </row>
    <row r="342" spans="15:73" x14ac:dyDescent="0.2"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  <c r="BR342" s="161"/>
      <c r="BS342" s="161"/>
      <c r="BT342" s="161"/>
      <c r="BU342" s="161"/>
    </row>
    <row r="343" spans="15:73" x14ac:dyDescent="0.2"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  <c r="BR343" s="161"/>
      <c r="BS343" s="161"/>
      <c r="BT343" s="161"/>
      <c r="BU343" s="161"/>
    </row>
    <row r="344" spans="15:73" x14ac:dyDescent="0.2"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  <c r="BR344" s="161"/>
      <c r="BS344" s="161"/>
      <c r="BT344" s="161"/>
      <c r="BU344" s="161"/>
    </row>
    <row r="345" spans="15:73" x14ac:dyDescent="0.2"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  <c r="BR345" s="161"/>
      <c r="BS345" s="161"/>
      <c r="BT345" s="161"/>
      <c r="BU345" s="161"/>
    </row>
    <row r="346" spans="15:73" x14ac:dyDescent="0.2"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  <c r="BR346" s="161"/>
      <c r="BS346" s="161"/>
      <c r="BT346" s="161"/>
      <c r="BU346" s="161"/>
    </row>
    <row r="347" spans="15:73" x14ac:dyDescent="0.2"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  <c r="BR347" s="161"/>
      <c r="BS347" s="161"/>
      <c r="BT347" s="161"/>
      <c r="BU347" s="161"/>
    </row>
    <row r="348" spans="15:73" x14ac:dyDescent="0.2"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  <c r="BR348" s="161"/>
      <c r="BS348" s="161"/>
      <c r="BT348" s="161"/>
      <c r="BU348" s="161"/>
    </row>
    <row r="349" spans="15:73" x14ac:dyDescent="0.2"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  <c r="BR349" s="161"/>
      <c r="BS349" s="161"/>
      <c r="BT349" s="161"/>
      <c r="BU349" s="161"/>
    </row>
    <row r="350" spans="15:73" x14ac:dyDescent="0.2"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1"/>
      <c r="BG350" s="161"/>
      <c r="BH350" s="161"/>
      <c r="BI350" s="161"/>
      <c r="BJ350" s="161"/>
      <c r="BK350" s="161"/>
      <c r="BL350" s="161"/>
      <c r="BM350" s="161"/>
      <c r="BN350" s="161"/>
      <c r="BO350" s="161"/>
      <c r="BP350" s="161"/>
      <c r="BQ350" s="161"/>
      <c r="BR350" s="161"/>
      <c r="BS350" s="161"/>
      <c r="BT350" s="161"/>
      <c r="BU350" s="161"/>
    </row>
    <row r="351" spans="15:73" x14ac:dyDescent="0.2"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1"/>
      <c r="BN351" s="161"/>
      <c r="BO351" s="161"/>
      <c r="BP351" s="161"/>
      <c r="BQ351" s="161"/>
      <c r="BR351" s="161"/>
      <c r="BS351" s="161"/>
      <c r="BT351" s="161"/>
      <c r="BU351" s="161"/>
    </row>
    <row r="352" spans="15:73" x14ac:dyDescent="0.2"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  <c r="BR352" s="161"/>
      <c r="BS352" s="161"/>
      <c r="BT352" s="161"/>
      <c r="BU352" s="161"/>
    </row>
    <row r="353" spans="15:73" x14ac:dyDescent="0.2"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  <c r="BR353" s="161"/>
      <c r="BS353" s="161"/>
      <c r="BT353" s="161"/>
      <c r="BU353" s="161"/>
    </row>
    <row r="354" spans="15:73" x14ac:dyDescent="0.2"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  <c r="BR354" s="161"/>
      <c r="BS354" s="161"/>
      <c r="BT354" s="161"/>
      <c r="BU354" s="161"/>
    </row>
    <row r="355" spans="15:73" x14ac:dyDescent="0.2"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  <c r="BR355" s="161"/>
      <c r="BS355" s="161"/>
      <c r="BT355" s="161"/>
      <c r="BU355" s="161"/>
    </row>
    <row r="356" spans="15:73" x14ac:dyDescent="0.2"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  <c r="BR356" s="161"/>
      <c r="BS356" s="161"/>
      <c r="BT356" s="161"/>
      <c r="BU356" s="161"/>
    </row>
    <row r="357" spans="15:73" x14ac:dyDescent="0.2"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  <c r="BR357" s="161"/>
      <c r="BS357" s="161"/>
      <c r="BT357" s="161"/>
      <c r="BU357" s="161"/>
    </row>
    <row r="358" spans="15:73" x14ac:dyDescent="0.2"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BT358" s="161"/>
      <c r="BU358" s="161"/>
    </row>
    <row r="359" spans="15:73" x14ac:dyDescent="0.2"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1"/>
      <c r="BN359" s="161"/>
      <c r="BO359" s="161"/>
      <c r="BP359" s="161"/>
      <c r="BQ359" s="161"/>
      <c r="BR359" s="161"/>
      <c r="BS359" s="161"/>
      <c r="BT359" s="161"/>
      <c r="BU359" s="161"/>
    </row>
    <row r="360" spans="15:73" x14ac:dyDescent="0.2"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  <c r="BR360" s="161"/>
      <c r="BS360" s="161"/>
      <c r="BT360" s="161"/>
      <c r="BU360" s="161"/>
    </row>
    <row r="361" spans="15:73" x14ac:dyDescent="0.2"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  <c r="BR361" s="161"/>
      <c r="BS361" s="161"/>
      <c r="BT361" s="161"/>
      <c r="BU361" s="161"/>
    </row>
    <row r="362" spans="15:73" x14ac:dyDescent="0.2"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61"/>
      <c r="BH362" s="161"/>
      <c r="BI362" s="161"/>
      <c r="BJ362" s="161"/>
      <c r="BK362" s="161"/>
      <c r="BL362" s="161"/>
      <c r="BM362" s="161"/>
      <c r="BN362" s="161"/>
      <c r="BO362" s="161"/>
      <c r="BP362" s="161"/>
      <c r="BQ362" s="161"/>
      <c r="BR362" s="161"/>
      <c r="BS362" s="161"/>
      <c r="BT362" s="161"/>
      <c r="BU362" s="161"/>
    </row>
    <row r="363" spans="15:73" x14ac:dyDescent="0.2"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161"/>
      <c r="BN363" s="161"/>
      <c r="BO363" s="161"/>
      <c r="BP363" s="161"/>
      <c r="BQ363" s="161"/>
      <c r="BR363" s="161"/>
      <c r="BS363" s="161"/>
      <c r="BT363" s="161"/>
      <c r="BU363" s="161"/>
    </row>
    <row r="364" spans="15:73" x14ac:dyDescent="0.2"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161"/>
      <c r="BN364" s="161"/>
      <c r="BO364" s="161"/>
      <c r="BP364" s="161"/>
      <c r="BQ364" s="161"/>
      <c r="BR364" s="161"/>
      <c r="BS364" s="161"/>
      <c r="BT364" s="161"/>
      <c r="BU364" s="161"/>
    </row>
    <row r="365" spans="15:73" x14ac:dyDescent="0.2"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61"/>
      <c r="BH365" s="161"/>
      <c r="BI365" s="161"/>
      <c r="BJ365" s="161"/>
      <c r="BK365" s="161"/>
      <c r="BL365" s="161"/>
      <c r="BM365" s="161"/>
      <c r="BN365" s="161"/>
      <c r="BO365" s="161"/>
      <c r="BP365" s="161"/>
      <c r="BQ365" s="161"/>
      <c r="BR365" s="161"/>
      <c r="BS365" s="161"/>
      <c r="BT365" s="161"/>
      <c r="BU365" s="161"/>
    </row>
    <row r="366" spans="15:73" x14ac:dyDescent="0.2"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1"/>
      <c r="BG366" s="161"/>
      <c r="BH366" s="161"/>
      <c r="BI366" s="161"/>
      <c r="BJ366" s="161"/>
      <c r="BK366" s="161"/>
      <c r="BL366" s="161"/>
      <c r="BM366" s="161"/>
      <c r="BN366" s="161"/>
      <c r="BO366" s="161"/>
      <c r="BP366" s="161"/>
      <c r="BQ366" s="161"/>
      <c r="BR366" s="161"/>
      <c r="BS366" s="161"/>
      <c r="BT366" s="161"/>
      <c r="BU366" s="161"/>
    </row>
    <row r="367" spans="15:73" x14ac:dyDescent="0.2"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  <c r="BR367" s="161"/>
      <c r="BS367" s="161"/>
      <c r="BT367" s="161"/>
      <c r="BU367" s="161"/>
    </row>
    <row r="368" spans="15:73" x14ac:dyDescent="0.2"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  <c r="BR368" s="161"/>
      <c r="BS368" s="161"/>
      <c r="BT368" s="161"/>
      <c r="BU368" s="161"/>
    </row>
    <row r="369" spans="15:73" x14ac:dyDescent="0.2"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  <c r="AX369" s="161"/>
      <c r="AY369" s="161"/>
      <c r="AZ369" s="161"/>
      <c r="BA369" s="161"/>
      <c r="BB369" s="161"/>
      <c r="BC369" s="161"/>
      <c r="BD369" s="161"/>
      <c r="BE369" s="161"/>
      <c r="BF369" s="161"/>
      <c r="BG369" s="161"/>
      <c r="BH369" s="161"/>
      <c r="BI369" s="161"/>
      <c r="BJ369" s="161"/>
      <c r="BK369" s="161"/>
      <c r="BL369" s="161"/>
      <c r="BM369" s="161"/>
      <c r="BN369" s="161"/>
      <c r="BO369" s="161"/>
      <c r="BP369" s="161"/>
      <c r="BQ369" s="161"/>
      <c r="BR369" s="161"/>
      <c r="BS369" s="161"/>
      <c r="BT369" s="161"/>
      <c r="BU369" s="161"/>
    </row>
    <row r="370" spans="15:73" x14ac:dyDescent="0.2"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  <c r="AX370" s="161"/>
      <c r="AY370" s="161"/>
      <c r="AZ370" s="161"/>
      <c r="BA370" s="161"/>
      <c r="BB370" s="161"/>
      <c r="BC370" s="161"/>
      <c r="BD370" s="161"/>
      <c r="BE370" s="161"/>
      <c r="BF370" s="161"/>
      <c r="BG370" s="161"/>
      <c r="BH370" s="161"/>
      <c r="BI370" s="161"/>
      <c r="BJ370" s="161"/>
      <c r="BK370" s="161"/>
      <c r="BL370" s="161"/>
      <c r="BM370" s="161"/>
      <c r="BN370" s="161"/>
      <c r="BO370" s="161"/>
      <c r="BP370" s="161"/>
      <c r="BQ370" s="161"/>
      <c r="BR370" s="161"/>
      <c r="BS370" s="161"/>
      <c r="BT370" s="161"/>
      <c r="BU370" s="161"/>
    </row>
    <row r="371" spans="15:73" x14ac:dyDescent="0.2"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161"/>
      <c r="AT371" s="161"/>
      <c r="AU371" s="161"/>
      <c r="AV371" s="161"/>
      <c r="AW371" s="161"/>
      <c r="AX371" s="161"/>
      <c r="AY371" s="161"/>
      <c r="AZ371" s="161"/>
      <c r="BA371" s="161"/>
      <c r="BB371" s="161"/>
      <c r="BC371" s="161"/>
      <c r="BD371" s="161"/>
      <c r="BE371" s="161"/>
      <c r="BF371" s="161"/>
      <c r="BG371" s="161"/>
      <c r="BH371" s="161"/>
      <c r="BI371" s="161"/>
      <c r="BJ371" s="161"/>
      <c r="BK371" s="161"/>
      <c r="BL371" s="161"/>
      <c r="BM371" s="161"/>
      <c r="BN371" s="161"/>
      <c r="BO371" s="161"/>
      <c r="BP371" s="161"/>
      <c r="BQ371" s="161"/>
      <c r="BR371" s="161"/>
      <c r="BS371" s="161"/>
      <c r="BT371" s="161"/>
      <c r="BU371" s="161"/>
    </row>
    <row r="372" spans="15:73" x14ac:dyDescent="0.2"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  <c r="AX372" s="161"/>
      <c r="AY372" s="161"/>
      <c r="AZ372" s="161"/>
      <c r="BA372" s="161"/>
      <c r="BB372" s="161"/>
      <c r="BC372" s="161"/>
      <c r="BD372" s="161"/>
      <c r="BE372" s="161"/>
      <c r="BF372" s="161"/>
      <c r="BG372" s="161"/>
      <c r="BH372" s="161"/>
      <c r="BI372" s="161"/>
      <c r="BJ372" s="161"/>
      <c r="BK372" s="161"/>
      <c r="BL372" s="161"/>
      <c r="BM372" s="161"/>
      <c r="BN372" s="161"/>
      <c r="BO372" s="161"/>
      <c r="BP372" s="161"/>
      <c r="BQ372" s="161"/>
      <c r="BR372" s="161"/>
      <c r="BS372" s="161"/>
      <c r="BT372" s="161"/>
      <c r="BU372" s="161"/>
    </row>
    <row r="373" spans="15:73" x14ac:dyDescent="0.2"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161"/>
      <c r="BD373" s="161"/>
      <c r="BE373" s="161"/>
      <c r="BF373" s="161"/>
      <c r="BG373" s="161"/>
      <c r="BH373" s="161"/>
      <c r="BI373" s="161"/>
      <c r="BJ373" s="161"/>
      <c r="BK373" s="161"/>
      <c r="BL373" s="161"/>
      <c r="BM373" s="161"/>
      <c r="BN373" s="161"/>
      <c r="BO373" s="161"/>
      <c r="BP373" s="161"/>
      <c r="BQ373" s="161"/>
      <c r="BR373" s="161"/>
      <c r="BS373" s="161"/>
      <c r="BT373" s="161"/>
      <c r="BU373" s="161"/>
    </row>
    <row r="374" spans="15:73" x14ac:dyDescent="0.2"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161"/>
      <c r="BD374" s="161"/>
      <c r="BE374" s="161"/>
      <c r="BF374" s="161"/>
      <c r="BG374" s="161"/>
      <c r="BH374" s="161"/>
      <c r="BI374" s="161"/>
      <c r="BJ374" s="161"/>
      <c r="BK374" s="161"/>
      <c r="BL374" s="161"/>
      <c r="BM374" s="161"/>
      <c r="BN374" s="161"/>
      <c r="BO374" s="161"/>
      <c r="BP374" s="161"/>
      <c r="BQ374" s="161"/>
      <c r="BR374" s="161"/>
      <c r="BS374" s="161"/>
      <c r="BT374" s="161"/>
      <c r="BU374" s="161"/>
    </row>
    <row r="375" spans="15:73" x14ac:dyDescent="0.2"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  <c r="AS375" s="161"/>
      <c r="AT375" s="161"/>
      <c r="AU375" s="161"/>
      <c r="AV375" s="161"/>
      <c r="AW375" s="161"/>
      <c r="AX375" s="161"/>
      <c r="AY375" s="161"/>
      <c r="AZ375" s="161"/>
      <c r="BA375" s="161"/>
      <c r="BB375" s="161"/>
      <c r="BC375" s="161"/>
      <c r="BD375" s="161"/>
      <c r="BE375" s="161"/>
      <c r="BF375" s="161"/>
      <c r="BG375" s="161"/>
      <c r="BH375" s="161"/>
      <c r="BI375" s="161"/>
      <c r="BJ375" s="161"/>
      <c r="BK375" s="161"/>
      <c r="BL375" s="161"/>
      <c r="BM375" s="161"/>
      <c r="BN375" s="161"/>
      <c r="BO375" s="161"/>
      <c r="BP375" s="161"/>
      <c r="BQ375" s="161"/>
      <c r="BR375" s="161"/>
      <c r="BS375" s="161"/>
      <c r="BT375" s="161"/>
      <c r="BU375" s="161"/>
    </row>
    <row r="376" spans="15:73" x14ac:dyDescent="0.2"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1"/>
      <c r="AT376" s="161"/>
      <c r="AU376" s="161"/>
      <c r="AV376" s="161"/>
      <c r="AW376" s="161"/>
      <c r="AX376" s="161"/>
      <c r="AY376" s="161"/>
      <c r="AZ376" s="161"/>
      <c r="BA376" s="161"/>
      <c r="BB376" s="161"/>
      <c r="BC376" s="161"/>
      <c r="BD376" s="161"/>
      <c r="BE376" s="161"/>
      <c r="BF376" s="161"/>
      <c r="BG376" s="161"/>
      <c r="BH376" s="161"/>
      <c r="BI376" s="161"/>
      <c r="BJ376" s="161"/>
      <c r="BK376" s="161"/>
      <c r="BL376" s="161"/>
      <c r="BM376" s="161"/>
      <c r="BN376" s="161"/>
      <c r="BO376" s="161"/>
      <c r="BP376" s="161"/>
      <c r="BQ376" s="161"/>
      <c r="BR376" s="161"/>
      <c r="BS376" s="161"/>
      <c r="BT376" s="161"/>
      <c r="BU376" s="161"/>
    </row>
    <row r="377" spans="15:73" x14ac:dyDescent="0.2"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1"/>
      <c r="AT377" s="161"/>
      <c r="AU377" s="161"/>
      <c r="AV377" s="161"/>
      <c r="AW377" s="161"/>
      <c r="AX377" s="161"/>
      <c r="AY377" s="161"/>
      <c r="AZ377" s="161"/>
      <c r="BA377" s="161"/>
      <c r="BB377" s="161"/>
      <c r="BC377" s="161"/>
      <c r="BD377" s="161"/>
      <c r="BE377" s="161"/>
      <c r="BF377" s="161"/>
      <c r="BG377" s="161"/>
      <c r="BH377" s="161"/>
      <c r="BI377" s="161"/>
      <c r="BJ377" s="161"/>
      <c r="BK377" s="161"/>
      <c r="BL377" s="161"/>
      <c r="BM377" s="161"/>
      <c r="BN377" s="161"/>
      <c r="BO377" s="161"/>
      <c r="BP377" s="161"/>
      <c r="BQ377" s="161"/>
      <c r="BR377" s="161"/>
      <c r="BS377" s="161"/>
      <c r="BT377" s="161"/>
      <c r="BU377" s="161"/>
    </row>
    <row r="378" spans="15:73" x14ac:dyDescent="0.2"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  <c r="AS378" s="161"/>
      <c r="AT378" s="161"/>
      <c r="AU378" s="161"/>
      <c r="AV378" s="161"/>
      <c r="AW378" s="161"/>
      <c r="AX378" s="161"/>
      <c r="AY378" s="161"/>
      <c r="AZ378" s="161"/>
      <c r="BA378" s="161"/>
      <c r="BB378" s="161"/>
      <c r="BC378" s="161"/>
      <c r="BD378" s="161"/>
      <c r="BE378" s="161"/>
      <c r="BF378" s="161"/>
      <c r="BG378" s="161"/>
      <c r="BH378" s="161"/>
      <c r="BI378" s="161"/>
      <c r="BJ378" s="161"/>
      <c r="BK378" s="161"/>
      <c r="BL378" s="161"/>
      <c r="BM378" s="161"/>
      <c r="BN378" s="161"/>
      <c r="BO378" s="161"/>
      <c r="BP378" s="161"/>
      <c r="BQ378" s="161"/>
      <c r="BR378" s="161"/>
      <c r="BS378" s="161"/>
      <c r="BT378" s="161"/>
      <c r="BU378" s="161"/>
    </row>
    <row r="379" spans="15:73" x14ac:dyDescent="0.2"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161"/>
      <c r="BD379" s="161"/>
      <c r="BE379" s="161"/>
      <c r="BF379" s="161"/>
      <c r="BG379" s="161"/>
      <c r="BH379" s="161"/>
      <c r="BI379" s="161"/>
      <c r="BJ379" s="161"/>
      <c r="BK379" s="161"/>
      <c r="BL379" s="161"/>
      <c r="BM379" s="161"/>
      <c r="BN379" s="161"/>
      <c r="BO379" s="161"/>
      <c r="BP379" s="161"/>
      <c r="BQ379" s="161"/>
      <c r="BR379" s="161"/>
      <c r="BS379" s="161"/>
      <c r="BT379" s="161"/>
      <c r="BU379" s="161"/>
    </row>
    <row r="380" spans="15:73" x14ac:dyDescent="0.2"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161"/>
      <c r="BD380" s="161"/>
      <c r="BE380" s="161"/>
      <c r="BF380" s="161"/>
      <c r="BG380" s="161"/>
      <c r="BH380" s="161"/>
      <c r="BI380" s="161"/>
      <c r="BJ380" s="161"/>
      <c r="BK380" s="161"/>
      <c r="BL380" s="161"/>
      <c r="BM380" s="161"/>
      <c r="BN380" s="161"/>
      <c r="BO380" s="161"/>
      <c r="BP380" s="161"/>
      <c r="BQ380" s="161"/>
      <c r="BR380" s="161"/>
      <c r="BS380" s="161"/>
      <c r="BT380" s="161"/>
      <c r="BU380" s="161"/>
    </row>
    <row r="381" spans="15:73" x14ac:dyDescent="0.2"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161"/>
      <c r="BD381" s="161"/>
      <c r="BE381" s="161"/>
      <c r="BF381" s="161"/>
      <c r="BG381" s="161"/>
      <c r="BH381" s="161"/>
      <c r="BI381" s="161"/>
      <c r="BJ381" s="161"/>
      <c r="BK381" s="161"/>
      <c r="BL381" s="161"/>
      <c r="BM381" s="161"/>
      <c r="BN381" s="161"/>
      <c r="BO381" s="161"/>
      <c r="BP381" s="161"/>
      <c r="BQ381" s="161"/>
      <c r="BR381" s="161"/>
      <c r="BS381" s="161"/>
      <c r="BT381" s="161"/>
      <c r="BU381" s="161"/>
    </row>
    <row r="382" spans="15:73" x14ac:dyDescent="0.2"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1"/>
      <c r="AT382" s="161"/>
      <c r="AU382" s="161"/>
      <c r="AV382" s="161"/>
      <c r="AW382" s="161"/>
      <c r="AX382" s="161"/>
      <c r="AY382" s="161"/>
      <c r="AZ382" s="161"/>
      <c r="BA382" s="161"/>
      <c r="BB382" s="161"/>
      <c r="BC382" s="161"/>
      <c r="BD382" s="161"/>
      <c r="BE382" s="161"/>
      <c r="BF382" s="161"/>
      <c r="BG382" s="161"/>
      <c r="BH382" s="161"/>
      <c r="BI382" s="161"/>
      <c r="BJ382" s="161"/>
      <c r="BK382" s="161"/>
      <c r="BL382" s="161"/>
      <c r="BM382" s="161"/>
      <c r="BN382" s="161"/>
      <c r="BO382" s="161"/>
      <c r="BP382" s="161"/>
      <c r="BQ382" s="161"/>
      <c r="BR382" s="161"/>
      <c r="BS382" s="161"/>
      <c r="BT382" s="161"/>
      <c r="BU382" s="161"/>
    </row>
    <row r="383" spans="15:73" x14ac:dyDescent="0.2"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  <c r="BD383" s="161"/>
      <c r="BE383" s="161"/>
      <c r="BF383" s="161"/>
      <c r="BG383" s="161"/>
      <c r="BH383" s="161"/>
      <c r="BI383" s="161"/>
      <c r="BJ383" s="161"/>
      <c r="BK383" s="161"/>
      <c r="BL383" s="161"/>
      <c r="BM383" s="161"/>
      <c r="BN383" s="161"/>
      <c r="BO383" s="161"/>
      <c r="BP383" s="161"/>
      <c r="BQ383" s="161"/>
      <c r="BR383" s="161"/>
      <c r="BS383" s="161"/>
      <c r="BT383" s="161"/>
      <c r="BU383" s="161"/>
    </row>
    <row r="384" spans="15:73" x14ac:dyDescent="0.2"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  <c r="BH384" s="161"/>
      <c r="BI384" s="161"/>
      <c r="BJ384" s="161"/>
      <c r="BK384" s="161"/>
      <c r="BL384" s="161"/>
      <c r="BM384" s="161"/>
      <c r="BN384" s="161"/>
      <c r="BO384" s="161"/>
      <c r="BP384" s="161"/>
      <c r="BQ384" s="161"/>
      <c r="BR384" s="161"/>
      <c r="BS384" s="161"/>
      <c r="BT384" s="161"/>
      <c r="BU384" s="161"/>
    </row>
    <row r="385" spans="15:73" x14ac:dyDescent="0.2"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1"/>
      <c r="BG385" s="161"/>
      <c r="BH385" s="161"/>
      <c r="BI385" s="161"/>
      <c r="BJ385" s="161"/>
      <c r="BK385" s="161"/>
      <c r="BL385" s="161"/>
      <c r="BM385" s="161"/>
      <c r="BN385" s="161"/>
      <c r="BO385" s="161"/>
      <c r="BP385" s="161"/>
      <c r="BQ385" s="161"/>
      <c r="BR385" s="161"/>
      <c r="BS385" s="161"/>
      <c r="BT385" s="161"/>
      <c r="BU385" s="161"/>
    </row>
    <row r="386" spans="15:73" x14ac:dyDescent="0.2"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161"/>
      <c r="BD386" s="161"/>
      <c r="BE386" s="161"/>
      <c r="BF386" s="161"/>
      <c r="BG386" s="161"/>
      <c r="BH386" s="161"/>
      <c r="BI386" s="161"/>
      <c r="BJ386" s="161"/>
      <c r="BK386" s="161"/>
      <c r="BL386" s="161"/>
      <c r="BM386" s="161"/>
      <c r="BN386" s="161"/>
      <c r="BO386" s="161"/>
      <c r="BP386" s="161"/>
      <c r="BQ386" s="161"/>
      <c r="BR386" s="161"/>
      <c r="BS386" s="161"/>
      <c r="BT386" s="161"/>
      <c r="BU386" s="161"/>
    </row>
    <row r="387" spans="15:73" x14ac:dyDescent="0.2"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161"/>
      <c r="BD387" s="161"/>
      <c r="BE387" s="161"/>
      <c r="BF387" s="161"/>
      <c r="BG387" s="161"/>
      <c r="BH387" s="161"/>
      <c r="BI387" s="161"/>
      <c r="BJ387" s="161"/>
      <c r="BK387" s="161"/>
      <c r="BL387" s="161"/>
      <c r="BM387" s="161"/>
      <c r="BN387" s="161"/>
      <c r="BO387" s="161"/>
      <c r="BP387" s="161"/>
      <c r="BQ387" s="161"/>
      <c r="BR387" s="161"/>
      <c r="BS387" s="161"/>
      <c r="BT387" s="161"/>
      <c r="BU387" s="161"/>
    </row>
    <row r="388" spans="15:73" x14ac:dyDescent="0.2"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  <c r="BR388" s="161"/>
      <c r="BS388" s="161"/>
      <c r="BT388" s="161"/>
      <c r="BU388" s="161"/>
    </row>
    <row r="389" spans="15:73" x14ac:dyDescent="0.2"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  <c r="AX389" s="161"/>
      <c r="AY389" s="161"/>
      <c r="AZ389" s="161"/>
      <c r="BA389" s="161"/>
      <c r="BB389" s="161"/>
      <c r="BC389" s="161"/>
      <c r="BD389" s="161"/>
      <c r="BE389" s="161"/>
      <c r="BF389" s="161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  <c r="BR389" s="161"/>
      <c r="BS389" s="161"/>
      <c r="BT389" s="161"/>
      <c r="BU389" s="161"/>
    </row>
    <row r="390" spans="15:73" x14ac:dyDescent="0.2"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  <c r="AX390" s="161"/>
      <c r="AY390" s="161"/>
      <c r="AZ390" s="161"/>
      <c r="BA390" s="161"/>
      <c r="BB390" s="161"/>
      <c r="BC390" s="161"/>
      <c r="BD390" s="161"/>
      <c r="BE390" s="161"/>
      <c r="BF390" s="161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  <c r="BR390" s="161"/>
      <c r="BS390" s="161"/>
      <c r="BT390" s="161"/>
      <c r="BU390" s="161"/>
    </row>
    <row r="391" spans="15:73" x14ac:dyDescent="0.2"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161"/>
      <c r="BD391" s="161"/>
      <c r="BE391" s="161"/>
      <c r="BF391" s="161"/>
      <c r="BG391" s="161"/>
      <c r="BH391" s="161"/>
      <c r="BI391" s="161"/>
      <c r="BJ391" s="161"/>
      <c r="BK391" s="161"/>
      <c r="BL391" s="161"/>
      <c r="BM391" s="161"/>
      <c r="BN391" s="161"/>
      <c r="BO391" s="161"/>
      <c r="BP391" s="161"/>
      <c r="BQ391" s="161"/>
      <c r="BR391" s="161"/>
      <c r="BS391" s="161"/>
      <c r="BT391" s="161"/>
      <c r="BU391" s="161"/>
    </row>
    <row r="392" spans="15:73" x14ac:dyDescent="0.2"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  <c r="AX392" s="161"/>
      <c r="AY392" s="161"/>
      <c r="AZ392" s="161"/>
      <c r="BA392" s="161"/>
      <c r="BB392" s="161"/>
      <c r="BC392" s="161"/>
      <c r="BD392" s="161"/>
      <c r="BE392" s="161"/>
      <c r="BF392" s="161"/>
      <c r="BG392" s="161"/>
      <c r="BH392" s="161"/>
      <c r="BI392" s="161"/>
      <c r="BJ392" s="161"/>
      <c r="BK392" s="161"/>
      <c r="BL392" s="161"/>
      <c r="BM392" s="161"/>
      <c r="BN392" s="161"/>
      <c r="BO392" s="161"/>
      <c r="BP392" s="161"/>
      <c r="BQ392" s="161"/>
      <c r="BR392" s="161"/>
      <c r="BS392" s="161"/>
      <c r="BT392" s="161"/>
      <c r="BU392" s="161"/>
    </row>
    <row r="393" spans="15:73" x14ac:dyDescent="0.2"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</row>
    <row r="394" spans="15:73" x14ac:dyDescent="0.2"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  <c r="BB394" s="161"/>
      <c r="BC394" s="161"/>
      <c r="BD394" s="161"/>
      <c r="BE394" s="161"/>
      <c r="BF394" s="161"/>
      <c r="BG394" s="161"/>
      <c r="BH394" s="161"/>
      <c r="BI394" s="161"/>
      <c r="BJ394" s="161"/>
      <c r="BK394" s="161"/>
      <c r="BL394" s="161"/>
      <c r="BM394" s="161"/>
      <c r="BN394" s="161"/>
      <c r="BO394" s="161"/>
      <c r="BP394" s="161"/>
      <c r="BQ394" s="161"/>
      <c r="BR394" s="161"/>
      <c r="BS394" s="161"/>
      <c r="BT394" s="161"/>
      <c r="BU394" s="161"/>
    </row>
    <row r="395" spans="15:73" x14ac:dyDescent="0.2"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  <c r="AX395" s="161"/>
      <c r="AY395" s="161"/>
      <c r="AZ395" s="161"/>
      <c r="BA395" s="161"/>
      <c r="BB395" s="161"/>
      <c r="BC395" s="161"/>
      <c r="BD395" s="161"/>
      <c r="BE395" s="161"/>
      <c r="BF395" s="161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  <c r="BR395" s="161"/>
      <c r="BS395" s="161"/>
      <c r="BT395" s="161"/>
      <c r="BU395" s="161"/>
    </row>
    <row r="396" spans="15:73" x14ac:dyDescent="0.2"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  <c r="AS396" s="161"/>
      <c r="AT396" s="161"/>
      <c r="AU396" s="161"/>
      <c r="AV396" s="161"/>
      <c r="AW396" s="161"/>
      <c r="AX396" s="161"/>
      <c r="AY396" s="161"/>
      <c r="AZ396" s="161"/>
      <c r="BA396" s="161"/>
      <c r="BB396" s="161"/>
      <c r="BC396" s="161"/>
      <c r="BD396" s="161"/>
      <c r="BE396" s="161"/>
      <c r="BF396" s="161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  <c r="BR396" s="161"/>
      <c r="BS396" s="161"/>
      <c r="BT396" s="161"/>
      <c r="BU396" s="161"/>
    </row>
    <row r="397" spans="15:73" x14ac:dyDescent="0.2"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  <c r="AS397" s="161"/>
      <c r="AT397" s="161"/>
      <c r="AU397" s="161"/>
      <c r="AV397" s="161"/>
      <c r="AW397" s="161"/>
      <c r="AX397" s="161"/>
      <c r="AY397" s="161"/>
      <c r="AZ397" s="161"/>
      <c r="BA397" s="161"/>
      <c r="BB397" s="161"/>
      <c r="BC397" s="161"/>
      <c r="BD397" s="161"/>
      <c r="BE397" s="161"/>
      <c r="BF397" s="161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  <c r="BR397" s="161"/>
      <c r="BS397" s="161"/>
      <c r="BT397" s="161"/>
      <c r="BU397" s="161"/>
    </row>
    <row r="398" spans="15:73" x14ac:dyDescent="0.2"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  <c r="AH398" s="161"/>
      <c r="AI398" s="161"/>
      <c r="AJ398" s="161"/>
      <c r="AK398" s="161"/>
      <c r="AL398" s="161"/>
      <c r="AM398" s="161"/>
      <c r="AN398" s="161"/>
      <c r="AO398" s="161"/>
      <c r="AP398" s="161"/>
      <c r="AQ398" s="161"/>
      <c r="AR398" s="161"/>
      <c r="AS398" s="161"/>
      <c r="AT398" s="161"/>
      <c r="AU398" s="161"/>
      <c r="AV398" s="161"/>
      <c r="AW398" s="161"/>
      <c r="AX398" s="161"/>
      <c r="AY398" s="161"/>
      <c r="AZ398" s="161"/>
      <c r="BA398" s="161"/>
      <c r="BB398" s="161"/>
      <c r="BC398" s="161"/>
      <c r="BD398" s="161"/>
      <c r="BE398" s="161"/>
      <c r="BF398" s="161"/>
      <c r="BG398" s="161"/>
      <c r="BH398" s="161"/>
      <c r="BI398" s="161"/>
      <c r="BJ398" s="161"/>
      <c r="BK398" s="161"/>
      <c r="BL398" s="161"/>
      <c r="BM398" s="161"/>
      <c r="BN398" s="161"/>
      <c r="BO398" s="161"/>
      <c r="BP398" s="161"/>
      <c r="BQ398" s="161"/>
      <c r="BR398" s="161"/>
      <c r="BS398" s="161"/>
      <c r="BT398" s="161"/>
      <c r="BU398" s="161"/>
    </row>
    <row r="399" spans="15:73" x14ac:dyDescent="0.2"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  <c r="AH399" s="161"/>
      <c r="AI399" s="161"/>
      <c r="AJ399" s="161"/>
      <c r="AK399" s="161"/>
      <c r="AL399" s="161"/>
      <c r="AM399" s="161"/>
      <c r="AN399" s="161"/>
      <c r="AO399" s="161"/>
      <c r="AP399" s="161"/>
      <c r="AQ399" s="161"/>
      <c r="AR399" s="161"/>
      <c r="AS399" s="161"/>
      <c r="AT399" s="161"/>
      <c r="AU399" s="161"/>
      <c r="AV399" s="161"/>
      <c r="AW399" s="161"/>
      <c r="AX399" s="161"/>
      <c r="AY399" s="161"/>
      <c r="AZ399" s="161"/>
      <c r="BA399" s="161"/>
      <c r="BB399" s="161"/>
      <c r="BC399" s="161"/>
      <c r="BD399" s="161"/>
      <c r="BE399" s="161"/>
      <c r="BF399" s="161"/>
      <c r="BG399" s="161"/>
      <c r="BH399" s="161"/>
      <c r="BI399" s="161"/>
      <c r="BJ399" s="161"/>
      <c r="BK399" s="161"/>
      <c r="BL399" s="161"/>
      <c r="BM399" s="161"/>
      <c r="BN399" s="161"/>
      <c r="BO399" s="161"/>
      <c r="BP399" s="161"/>
      <c r="BQ399" s="161"/>
      <c r="BR399" s="161"/>
      <c r="BS399" s="161"/>
      <c r="BT399" s="161"/>
      <c r="BU399" s="161"/>
    </row>
    <row r="400" spans="15:73" x14ac:dyDescent="0.2"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  <c r="AH400" s="161"/>
      <c r="AI400" s="161"/>
      <c r="AJ400" s="161"/>
      <c r="AK400" s="161"/>
      <c r="AL400" s="161"/>
      <c r="AM400" s="161"/>
      <c r="AN400" s="161"/>
      <c r="AO400" s="161"/>
      <c r="AP400" s="161"/>
      <c r="AQ400" s="161"/>
      <c r="AR400" s="161"/>
      <c r="AS400" s="161"/>
      <c r="AT400" s="161"/>
      <c r="AU400" s="161"/>
      <c r="AV400" s="161"/>
      <c r="AW400" s="161"/>
      <c r="AX400" s="161"/>
      <c r="AY400" s="161"/>
      <c r="AZ400" s="161"/>
      <c r="BA400" s="161"/>
      <c r="BB400" s="161"/>
      <c r="BC400" s="161"/>
      <c r="BD400" s="161"/>
      <c r="BE400" s="161"/>
      <c r="BF400" s="161"/>
      <c r="BG400" s="161"/>
      <c r="BH400" s="161"/>
      <c r="BI400" s="161"/>
      <c r="BJ400" s="161"/>
      <c r="BK400" s="161"/>
      <c r="BL400" s="161"/>
      <c r="BM400" s="161"/>
      <c r="BN400" s="161"/>
      <c r="BO400" s="161"/>
      <c r="BP400" s="161"/>
      <c r="BQ400" s="161"/>
      <c r="BR400" s="161"/>
      <c r="BS400" s="161"/>
      <c r="BT400" s="161"/>
      <c r="BU400" s="161"/>
    </row>
    <row r="401" spans="15:73" x14ac:dyDescent="0.2"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  <c r="AH401" s="161"/>
      <c r="AI401" s="161"/>
      <c r="AJ401" s="161"/>
      <c r="AK401" s="161"/>
      <c r="AL401" s="161"/>
      <c r="AM401" s="161"/>
      <c r="AN401" s="161"/>
      <c r="AO401" s="161"/>
      <c r="AP401" s="161"/>
      <c r="AQ401" s="161"/>
      <c r="AR401" s="161"/>
      <c r="AS401" s="161"/>
      <c r="AT401" s="161"/>
      <c r="AU401" s="161"/>
      <c r="AV401" s="161"/>
      <c r="AW401" s="161"/>
      <c r="AX401" s="161"/>
      <c r="AY401" s="161"/>
      <c r="AZ401" s="161"/>
      <c r="BA401" s="161"/>
      <c r="BB401" s="161"/>
      <c r="BC401" s="161"/>
      <c r="BD401" s="161"/>
      <c r="BE401" s="161"/>
      <c r="BF401" s="161"/>
      <c r="BG401" s="161"/>
      <c r="BH401" s="161"/>
      <c r="BI401" s="161"/>
      <c r="BJ401" s="161"/>
      <c r="BK401" s="161"/>
      <c r="BL401" s="161"/>
      <c r="BM401" s="161"/>
      <c r="BN401" s="161"/>
      <c r="BO401" s="161"/>
      <c r="BP401" s="161"/>
      <c r="BQ401" s="161"/>
      <c r="BR401" s="161"/>
      <c r="BS401" s="161"/>
      <c r="BT401" s="161"/>
      <c r="BU401" s="161"/>
    </row>
    <row r="402" spans="15:73" x14ac:dyDescent="0.2"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  <c r="AH402" s="161"/>
      <c r="AI402" s="161"/>
      <c r="AJ402" s="161"/>
      <c r="AK402" s="161"/>
      <c r="AL402" s="161"/>
      <c r="AM402" s="161"/>
      <c r="AN402" s="161"/>
      <c r="AO402" s="161"/>
      <c r="AP402" s="161"/>
      <c r="AQ402" s="161"/>
      <c r="AR402" s="161"/>
      <c r="AS402" s="161"/>
      <c r="AT402" s="161"/>
      <c r="AU402" s="161"/>
      <c r="AV402" s="161"/>
      <c r="AW402" s="161"/>
      <c r="AX402" s="161"/>
      <c r="AY402" s="161"/>
      <c r="AZ402" s="161"/>
      <c r="BA402" s="161"/>
      <c r="BB402" s="161"/>
      <c r="BC402" s="161"/>
      <c r="BD402" s="161"/>
      <c r="BE402" s="161"/>
      <c r="BF402" s="161"/>
      <c r="BG402" s="161"/>
      <c r="BH402" s="161"/>
      <c r="BI402" s="161"/>
      <c r="BJ402" s="161"/>
      <c r="BK402" s="161"/>
      <c r="BL402" s="161"/>
      <c r="BM402" s="161"/>
      <c r="BN402" s="161"/>
      <c r="BO402" s="161"/>
      <c r="BP402" s="161"/>
      <c r="BQ402" s="161"/>
      <c r="BR402" s="161"/>
      <c r="BS402" s="161"/>
      <c r="BT402" s="161"/>
      <c r="BU402" s="161"/>
    </row>
    <row r="403" spans="15:73" x14ac:dyDescent="0.2"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  <c r="AH403" s="161"/>
      <c r="AI403" s="161"/>
      <c r="AJ403" s="161"/>
      <c r="AK403" s="161"/>
      <c r="AL403" s="161"/>
      <c r="AM403" s="161"/>
      <c r="AN403" s="161"/>
      <c r="AO403" s="161"/>
      <c r="AP403" s="161"/>
      <c r="AQ403" s="161"/>
      <c r="AR403" s="161"/>
      <c r="AS403" s="161"/>
      <c r="AT403" s="161"/>
      <c r="AU403" s="161"/>
      <c r="AV403" s="161"/>
      <c r="AW403" s="161"/>
      <c r="AX403" s="161"/>
      <c r="AY403" s="161"/>
      <c r="AZ403" s="161"/>
      <c r="BA403" s="161"/>
      <c r="BB403" s="161"/>
      <c r="BC403" s="161"/>
      <c r="BD403" s="161"/>
      <c r="BE403" s="161"/>
      <c r="BF403" s="161"/>
      <c r="BG403" s="161"/>
      <c r="BH403" s="161"/>
      <c r="BI403" s="161"/>
      <c r="BJ403" s="161"/>
      <c r="BK403" s="161"/>
      <c r="BL403" s="161"/>
      <c r="BM403" s="161"/>
      <c r="BN403" s="161"/>
      <c r="BO403" s="161"/>
      <c r="BP403" s="161"/>
      <c r="BQ403" s="161"/>
      <c r="BR403" s="161"/>
      <c r="BS403" s="161"/>
      <c r="BT403" s="161"/>
      <c r="BU403" s="161"/>
    </row>
    <row r="404" spans="15:73" x14ac:dyDescent="0.2"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  <c r="AH404" s="161"/>
      <c r="AI404" s="161"/>
      <c r="AJ404" s="161"/>
      <c r="AK404" s="161"/>
      <c r="AL404" s="161"/>
      <c r="AM404" s="161"/>
      <c r="AN404" s="161"/>
      <c r="AO404" s="161"/>
      <c r="AP404" s="161"/>
      <c r="AQ404" s="161"/>
      <c r="AR404" s="161"/>
      <c r="AS404" s="161"/>
      <c r="AT404" s="161"/>
      <c r="AU404" s="161"/>
      <c r="AV404" s="161"/>
      <c r="AW404" s="161"/>
      <c r="AX404" s="161"/>
      <c r="AY404" s="161"/>
      <c r="AZ404" s="161"/>
      <c r="BA404" s="161"/>
      <c r="BB404" s="161"/>
      <c r="BC404" s="161"/>
      <c r="BD404" s="161"/>
      <c r="BE404" s="161"/>
      <c r="BF404" s="161"/>
      <c r="BG404" s="161"/>
      <c r="BH404" s="161"/>
      <c r="BI404" s="161"/>
      <c r="BJ404" s="161"/>
      <c r="BK404" s="161"/>
      <c r="BL404" s="161"/>
      <c r="BM404" s="161"/>
      <c r="BN404" s="161"/>
      <c r="BO404" s="161"/>
      <c r="BP404" s="161"/>
      <c r="BQ404" s="161"/>
      <c r="BR404" s="161"/>
      <c r="BS404" s="161"/>
      <c r="BT404" s="161"/>
      <c r="BU404" s="161"/>
    </row>
    <row r="405" spans="15:73" x14ac:dyDescent="0.2"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  <c r="AH405" s="161"/>
      <c r="AI405" s="161"/>
      <c r="AJ405" s="161"/>
      <c r="AK405" s="161"/>
      <c r="AL405" s="161"/>
      <c r="AM405" s="161"/>
      <c r="AN405" s="161"/>
      <c r="AO405" s="161"/>
      <c r="AP405" s="161"/>
      <c r="AQ405" s="161"/>
      <c r="AR405" s="161"/>
      <c r="AS405" s="161"/>
      <c r="AT405" s="161"/>
      <c r="AU405" s="161"/>
      <c r="AV405" s="161"/>
      <c r="AW405" s="161"/>
      <c r="AX405" s="161"/>
      <c r="AY405" s="161"/>
      <c r="AZ405" s="161"/>
      <c r="BA405" s="161"/>
      <c r="BB405" s="161"/>
      <c r="BC405" s="161"/>
      <c r="BD405" s="161"/>
      <c r="BE405" s="161"/>
      <c r="BF405" s="161"/>
      <c r="BG405" s="161"/>
      <c r="BH405" s="161"/>
      <c r="BI405" s="161"/>
      <c r="BJ405" s="161"/>
      <c r="BK405" s="161"/>
      <c r="BL405" s="161"/>
      <c r="BM405" s="161"/>
      <c r="BN405" s="161"/>
      <c r="BO405" s="161"/>
      <c r="BP405" s="161"/>
      <c r="BQ405" s="161"/>
      <c r="BR405" s="161"/>
      <c r="BS405" s="161"/>
      <c r="BT405" s="161"/>
      <c r="BU405" s="161"/>
    </row>
    <row r="406" spans="15:73" x14ac:dyDescent="0.2"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  <c r="AH406" s="161"/>
      <c r="AI406" s="161"/>
      <c r="AJ406" s="161"/>
      <c r="AK406" s="161"/>
      <c r="AL406" s="161"/>
      <c r="AM406" s="161"/>
      <c r="AN406" s="161"/>
      <c r="AO406" s="161"/>
      <c r="AP406" s="161"/>
      <c r="AQ406" s="161"/>
      <c r="AR406" s="161"/>
      <c r="AS406" s="161"/>
      <c r="AT406" s="161"/>
      <c r="AU406" s="161"/>
      <c r="AV406" s="161"/>
      <c r="AW406" s="161"/>
      <c r="AX406" s="161"/>
      <c r="AY406" s="161"/>
      <c r="AZ406" s="161"/>
      <c r="BA406" s="161"/>
      <c r="BB406" s="161"/>
      <c r="BC406" s="161"/>
      <c r="BD406" s="161"/>
      <c r="BE406" s="161"/>
      <c r="BF406" s="161"/>
      <c r="BG406" s="161"/>
      <c r="BH406" s="161"/>
      <c r="BI406" s="161"/>
      <c r="BJ406" s="161"/>
      <c r="BK406" s="161"/>
      <c r="BL406" s="161"/>
      <c r="BM406" s="161"/>
      <c r="BN406" s="161"/>
      <c r="BO406" s="161"/>
      <c r="BP406" s="161"/>
      <c r="BQ406" s="161"/>
      <c r="BR406" s="161"/>
      <c r="BS406" s="161"/>
      <c r="BT406" s="161"/>
      <c r="BU406" s="161"/>
    </row>
    <row r="407" spans="15:73" x14ac:dyDescent="0.2"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  <c r="AH407" s="161"/>
      <c r="AI407" s="161"/>
      <c r="AJ407" s="161"/>
      <c r="AK407" s="161"/>
      <c r="AL407" s="161"/>
      <c r="AM407" s="161"/>
      <c r="AN407" s="161"/>
      <c r="AO407" s="161"/>
      <c r="AP407" s="161"/>
      <c r="AQ407" s="161"/>
      <c r="AR407" s="161"/>
      <c r="AS407" s="161"/>
      <c r="AT407" s="161"/>
      <c r="AU407" s="161"/>
      <c r="AV407" s="161"/>
      <c r="AW407" s="161"/>
      <c r="AX407" s="161"/>
      <c r="AY407" s="161"/>
      <c r="AZ407" s="161"/>
      <c r="BA407" s="161"/>
      <c r="BB407" s="161"/>
      <c r="BC407" s="161"/>
      <c r="BD407" s="161"/>
      <c r="BE407" s="161"/>
      <c r="BF407" s="161"/>
      <c r="BG407" s="161"/>
      <c r="BH407" s="161"/>
      <c r="BI407" s="161"/>
      <c r="BJ407" s="161"/>
      <c r="BK407" s="161"/>
      <c r="BL407" s="161"/>
      <c r="BM407" s="161"/>
      <c r="BN407" s="161"/>
      <c r="BO407" s="161"/>
      <c r="BP407" s="161"/>
      <c r="BQ407" s="161"/>
      <c r="BR407" s="161"/>
      <c r="BS407" s="161"/>
      <c r="BT407" s="161"/>
      <c r="BU407" s="161"/>
    </row>
    <row r="408" spans="15:73" x14ac:dyDescent="0.2"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  <c r="AH408" s="161"/>
      <c r="AI408" s="161"/>
      <c r="AJ408" s="161"/>
      <c r="AK408" s="161"/>
      <c r="AL408" s="161"/>
      <c r="AM408" s="161"/>
      <c r="AN408" s="161"/>
      <c r="AO408" s="161"/>
      <c r="AP408" s="161"/>
      <c r="AQ408" s="161"/>
      <c r="AR408" s="161"/>
      <c r="AS408" s="161"/>
      <c r="AT408" s="161"/>
      <c r="AU408" s="161"/>
      <c r="AV408" s="161"/>
      <c r="AW408" s="161"/>
      <c r="AX408" s="161"/>
      <c r="AY408" s="161"/>
      <c r="AZ408" s="161"/>
      <c r="BA408" s="161"/>
      <c r="BB408" s="161"/>
      <c r="BC408" s="161"/>
      <c r="BD408" s="161"/>
      <c r="BE408" s="161"/>
      <c r="BF408" s="161"/>
      <c r="BG408" s="161"/>
      <c r="BH408" s="161"/>
      <c r="BI408" s="161"/>
      <c r="BJ408" s="161"/>
      <c r="BK408" s="161"/>
      <c r="BL408" s="161"/>
      <c r="BM408" s="161"/>
      <c r="BN408" s="161"/>
      <c r="BO408" s="161"/>
      <c r="BP408" s="161"/>
      <c r="BQ408" s="161"/>
      <c r="BR408" s="161"/>
      <c r="BS408" s="161"/>
      <c r="BT408" s="161"/>
      <c r="BU408" s="161"/>
    </row>
    <row r="409" spans="15:73" x14ac:dyDescent="0.2"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  <c r="AH409" s="161"/>
      <c r="AI409" s="161"/>
      <c r="AJ409" s="161"/>
      <c r="AK409" s="161"/>
      <c r="AL409" s="161"/>
      <c r="AM409" s="161"/>
      <c r="AN409" s="161"/>
      <c r="AO409" s="161"/>
      <c r="AP409" s="161"/>
      <c r="AQ409" s="161"/>
      <c r="AR409" s="161"/>
      <c r="AS409" s="161"/>
      <c r="AT409" s="161"/>
      <c r="AU409" s="161"/>
      <c r="AV409" s="161"/>
      <c r="AW409" s="161"/>
      <c r="AX409" s="161"/>
      <c r="AY409" s="161"/>
      <c r="AZ409" s="161"/>
      <c r="BA409" s="161"/>
      <c r="BB409" s="161"/>
      <c r="BC409" s="161"/>
      <c r="BD409" s="161"/>
      <c r="BE409" s="161"/>
      <c r="BF409" s="161"/>
      <c r="BG409" s="161"/>
      <c r="BH409" s="161"/>
      <c r="BI409" s="161"/>
      <c r="BJ409" s="161"/>
      <c r="BK409" s="161"/>
      <c r="BL409" s="161"/>
      <c r="BM409" s="161"/>
      <c r="BN409" s="161"/>
      <c r="BO409" s="161"/>
      <c r="BP409" s="161"/>
      <c r="BQ409" s="161"/>
      <c r="BR409" s="161"/>
      <c r="BS409" s="161"/>
      <c r="BT409" s="161"/>
      <c r="BU409" s="161"/>
    </row>
    <row r="410" spans="15:73" x14ac:dyDescent="0.2"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  <c r="AH410" s="161"/>
      <c r="AI410" s="161"/>
      <c r="AJ410" s="161"/>
      <c r="AK410" s="161"/>
      <c r="AL410" s="161"/>
      <c r="AM410" s="161"/>
      <c r="AN410" s="161"/>
      <c r="AO410" s="161"/>
      <c r="AP410" s="161"/>
      <c r="AQ410" s="161"/>
      <c r="AR410" s="161"/>
      <c r="AS410" s="161"/>
      <c r="AT410" s="161"/>
      <c r="AU410" s="161"/>
      <c r="AV410" s="161"/>
      <c r="AW410" s="161"/>
      <c r="AX410" s="161"/>
      <c r="AY410" s="161"/>
      <c r="AZ410" s="161"/>
      <c r="BA410" s="161"/>
      <c r="BB410" s="161"/>
      <c r="BC410" s="161"/>
      <c r="BD410" s="161"/>
      <c r="BE410" s="161"/>
      <c r="BF410" s="161"/>
      <c r="BG410" s="161"/>
      <c r="BH410" s="161"/>
      <c r="BI410" s="161"/>
      <c r="BJ410" s="161"/>
      <c r="BK410" s="161"/>
      <c r="BL410" s="161"/>
      <c r="BM410" s="161"/>
      <c r="BN410" s="161"/>
      <c r="BO410" s="161"/>
      <c r="BP410" s="161"/>
      <c r="BQ410" s="161"/>
      <c r="BR410" s="161"/>
      <c r="BS410" s="161"/>
      <c r="BT410" s="161"/>
      <c r="BU410" s="161"/>
    </row>
    <row r="411" spans="15:73" x14ac:dyDescent="0.2"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  <c r="AH411" s="161"/>
      <c r="AI411" s="161"/>
      <c r="AJ411" s="161"/>
      <c r="AK411" s="161"/>
      <c r="AL411" s="161"/>
      <c r="AM411" s="161"/>
      <c r="AN411" s="161"/>
      <c r="AO411" s="161"/>
      <c r="AP411" s="161"/>
      <c r="AQ411" s="161"/>
      <c r="AR411" s="161"/>
      <c r="AS411" s="161"/>
      <c r="AT411" s="161"/>
      <c r="AU411" s="161"/>
      <c r="AV411" s="161"/>
      <c r="AW411" s="161"/>
      <c r="AX411" s="161"/>
      <c r="AY411" s="161"/>
      <c r="AZ411" s="161"/>
      <c r="BA411" s="161"/>
      <c r="BB411" s="161"/>
      <c r="BC411" s="161"/>
      <c r="BD411" s="161"/>
      <c r="BE411" s="161"/>
      <c r="BF411" s="161"/>
      <c r="BG411" s="161"/>
      <c r="BH411" s="161"/>
      <c r="BI411" s="161"/>
      <c r="BJ411" s="161"/>
      <c r="BK411" s="161"/>
      <c r="BL411" s="161"/>
      <c r="BM411" s="161"/>
      <c r="BN411" s="161"/>
      <c r="BO411" s="161"/>
      <c r="BP411" s="161"/>
      <c r="BQ411" s="161"/>
      <c r="BR411" s="161"/>
      <c r="BS411" s="161"/>
      <c r="BT411" s="161"/>
      <c r="BU411" s="161"/>
    </row>
    <row r="412" spans="15:73" x14ac:dyDescent="0.2"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  <c r="AN412" s="161"/>
      <c r="AO412" s="161"/>
      <c r="AP412" s="161"/>
      <c r="AQ412" s="161"/>
      <c r="AR412" s="161"/>
      <c r="AS412" s="161"/>
      <c r="AT412" s="161"/>
      <c r="AU412" s="161"/>
      <c r="AV412" s="161"/>
      <c r="AW412" s="161"/>
      <c r="AX412" s="161"/>
      <c r="AY412" s="161"/>
      <c r="AZ412" s="161"/>
      <c r="BA412" s="161"/>
      <c r="BB412" s="161"/>
      <c r="BC412" s="161"/>
      <c r="BD412" s="161"/>
      <c r="BE412" s="161"/>
      <c r="BF412" s="161"/>
      <c r="BG412" s="161"/>
      <c r="BH412" s="161"/>
      <c r="BI412" s="161"/>
      <c r="BJ412" s="161"/>
      <c r="BK412" s="161"/>
      <c r="BL412" s="161"/>
      <c r="BM412" s="161"/>
      <c r="BN412" s="161"/>
      <c r="BO412" s="161"/>
      <c r="BP412" s="161"/>
      <c r="BQ412" s="161"/>
      <c r="BR412" s="161"/>
      <c r="BS412" s="161"/>
      <c r="BT412" s="161"/>
      <c r="BU412" s="161"/>
    </row>
    <row r="413" spans="15:73" x14ac:dyDescent="0.2"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  <c r="AH413" s="161"/>
      <c r="AI413" s="161"/>
      <c r="AJ413" s="161"/>
      <c r="AK413" s="161"/>
      <c r="AL413" s="161"/>
      <c r="AM413" s="161"/>
      <c r="AN413" s="161"/>
      <c r="AO413" s="161"/>
      <c r="AP413" s="161"/>
      <c r="AQ413" s="161"/>
      <c r="AR413" s="161"/>
      <c r="AS413" s="161"/>
      <c r="AT413" s="161"/>
      <c r="AU413" s="161"/>
      <c r="AV413" s="161"/>
      <c r="AW413" s="161"/>
      <c r="AX413" s="161"/>
      <c r="AY413" s="161"/>
      <c r="AZ413" s="161"/>
      <c r="BA413" s="161"/>
      <c r="BB413" s="161"/>
      <c r="BC413" s="161"/>
      <c r="BD413" s="161"/>
      <c r="BE413" s="161"/>
      <c r="BF413" s="161"/>
      <c r="BG413" s="161"/>
      <c r="BH413" s="161"/>
      <c r="BI413" s="161"/>
      <c r="BJ413" s="161"/>
      <c r="BK413" s="161"/>
      <c r="BL413" s="161"/>
      <c r="BM413" s="161"/>
      <c r="BN413" s="161"/>
      <c r="BO413" s="161"/>
      <c r="BP413" s="161"/>
      <c r="BQ413" s="161"/>
      <c r="BR413" s="161"/>
      <c r="BS413" s="161"/>
      <c r="BT413" s="161"/>
      <c r="BU413" s="161"/>
    </row>
    <row r="414" spans="15:73" x14ac:dyDescent="0.2"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  <c r="AH414" s="161"/>
      <c r="AI414" s="161"/>
      <c r="AJ414" s="161"/>
      <c r="AK414" s="161"/>
      <c r="AL414" s="161"/>
      <c r="AM414" s="161"/>
      <c r="AN414" s="161"/>
      <c r="AO414" s="161"/>
      <c r="AP414" s="161"/>
      <c r="AQ414" s="161"/>
      <c r="AR414" s="161"/>
      <c r="AS414" s="161"/>
      <c r="AT414" s="161"/>
      <c r="AU414" s="161"/>
      <c r="AV414" s="161"/>
      <c r="AW414" s="161"/>
      <c r="AX414" s="161"/>
      <c r="AY414" s="161"/>
      <c r="AZ414" s="161"/>
      <c r="BA414" s="161"/>
      <c r="BB414" s="161"/>
      <c r="BC414" s="161"/>
      <c r="BD414" s="161"/>
      <c r="BE414" s="161"/>
      <c r="BF414" s="161"/>
      <c r="BG414" s="161"/>
      <c r="BH414" s="161"/>
      <c r="BI414" s="161"/>
      <c r="BJ414" s="161"/>
      <c r="BK414" s="161"/>
      <c r="BL414" s="161"/>
      <c r="BM414" s="161"/>
      <c r="BN414" s="161"/>
      <c r="BO414" s="161"/>
      <c r="BP414" s="161"/>
      <c r="BQ414" s="161"/>
      <c r="BR414" s="161"/>
      <c r="BS414" s="161"/>
      <c r="BT414" s="161"/>
      <c r="BU414" s="161"/>
    </row>
    <row r="415" spans="15:73" x14ac:dyDescent="0.2"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  <c r="AH415" s="161"/>
      <c r="AI415" s="161"/>
      <c r="AJ415" s="161"/>
      <c r="AK415" s="161"/>
      <c r="AL415" s="161"/>
      <c r="AM415" s="161"/>
      <c r="AN415" s="161"/>
      <c r="AO415" s="161"/>
      <c r="AP415" s="161"/>
      <c r="AQ415" s="161"/>
      <c r="AR415" s="161"/>
      <c r="AS415" s="161"/>
      <c r="AT415" s="161"/>
      <c r="AU415" s="161"/>
      <c r="AV415" s="161"/>
      <c r="AW415" s="161"/>
      <c r="AX415" s="161"/>
      <c r="AY415" s="161"/>
      <c r="AZ415" s="161"/>
      <c r="BA415" s="161"/>
      <c r="BB415" s="161"/>
      <c r="BC415" s="161"/>
      <c r="BD415" s="161"/>
      <c r="BE415" s="161"/>
      <c r="BF415" s="161"/>
      <c r="BG415" s="161"/>
      <c r="BH415" s="161"/>
      <c r="BI415" s="161"/>
      <c r="BJ415" s="161"/>
      <c r="BK415" s="161"/>
      <c r="BL415" s="161"/>
      <c r="BM415" s="161"/>
      <c r="BN415" s="161"/>
      <c r="BO415" s="161"/>
      <c r="BP415" s="161"/>
      <c r="BQ415" s="161"/>
      <c r="BR415" s="161"/>
      <c r="BS415" s="161"/>
      <c r="BT415" s="161"/>
      <c r="BU415" s="161"/>
    </row>
    <row r="416" spans="15:73" x14ac:dyDescent="0.2"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  <c r="AN416" s="161"/>
      <c r="AO416" s="161"/>
      <c r="AP416" s="161"/>
      <c r="AQ416" s="161"/>
      <c r="AR416" s="161"/>
      <c r="AS416" s="161"/>
      <c r="AT416" s="161"/>
      <c r="AU416" s="161"/>
      <c r="AV416" s="161"/>
      <c r="AW416" s="161"/>
      <c r="AX416" s="161"/>
      <c r="AY416" s="161"/>
      <c r="AZ416" s="161"/>
      <c r="BA416" s="161"/>
      <c r="BB416" s="161"/>
      <c r="BC416" s="161"/>
      <c r="BD416" s="161"/>
      <c r="BE416" s="161"/>
      <c r="BF416" s="161"/>
      <c r="BG416" s="161"/>
      <c r="BH416" s="161"/>
      <c r="BI416" s="161"/>
      <c r="BJ416" s="161"/>
      <c r="BK416" s="161"/>
      <c r="BL416" s="161"/>
      <c r="BM416" s="161"/>
      <c r="BN416" s="161"/>
      <c r="BO416" s="161"/>
      <c r="BP416" s="161"/>
      <c r="BQ416" s="161"/>
      <c r="BR416" s="161"/>
      <c r="BS416" s="161"/>
      <c r="BT416" s="161"/>
      <c r="BU416" s="161"/>
    </row>
    <row r="417" spans="15:73" x14ac:dyDescent="0.2"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  <c r="AH417" s="161"/>
      <c r="AI417" s="161"/>
      <c r="AJ417" s="161"/>
      <c r="AK417" s="161"/>
      <c r="AL417" s="161"/>
      <c r="AM417" s="161"/>
      <c r="AN417" s="161"/>
      <c r="AO417" s="161"/>
      <c r="AP417" s="161"/>
      <c r="AQ417" s="161"/>
      <c r="AR417" s="161"/>
      <c r="AS417" s="161"/>
      <c r="AT417" s="161"/>
      <c r="AU417" s="161"/>
      <c r="AV417" s="161"/>
      <c r="AW417" s="161"/>
      <c r="AX417" s="161"/>
      <c r="AY417" s="161"/>
      <c r="AZ417" s="161"/>
      <c r="BA417" s="161"/>
      <c r="BB417" s="161"/>
      <c r="BC417" s="161"/>
      <c r="BD417" s="161"/>
      <c r="BE417" s="161"/>
      <c r="BF417" s="161"/>
      <c r="BG417" s="161"/>
      <c r="BH417" s="161"/>
      <c r="BI417" s="161"/>
      <c r="BJ417" s="161"/>
      <c r="BK417" s="161"/>
      <c r="BL417" s="161"/>
      <c r="BM417" s="161"/>
      <c r="BN417" s="161"/>
      <c r="BO417" s="161"/>
      <c r="BP417" s="161"/>
      <c r="BQ417" s="161"/>
      <c r="BR417" s="161"/>
      <c r="BS417" s="161"/>
      <c r="BT417" s="161"/>
      <c r="BU417" s="161"/>
    </row>
    <row r="418" spans="15:73" x14ac:dyDescent="0.2"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  <c r="AH418" s="161"/>
      <c r="AI418" s="161"/>
      <c r="AJ418" s="161"/>
      <c r="AK418" s="161"/>
      <c r="AL418" s="161"/>
      <c r="AM418" s="161"/>
      <c r="AN418" s="161"/>
      <c r="AO418" s="161"/>
      <c r="AP418" s="161"/>
      <c r="AQ418" s="161"/>
      <c r="AR418" s="161"/>
      <c r="AS418" s="161"/>
      <c r="AT418" s="161"/>
      <c r="AU418" s="161"/>
      <c r="AV418" s="161"/>
      <c r="AW418" s="161"/>
      <c r="AX418" s="161"/>
      <c r="AY418" s="161"/>
      <c r="AZ418" s="161"/>
      <c r="BA418" s="161"/>
      <c r="BB418" s="161"/>
      <c r="BC418" s="161"/>
      <c r="BD418" s="161"/>
      <c r="BE418" s="161"/>
      <c r="BF418" s="161"/>
      <c r="BG418" s="161"/>
      <c r="BH418" s="161"/>
      <c r="BI418" s="161"/>
      <c r="BJ418" s="161"/>
      <c r="BK418" s="161"/>
      <c r="BL418" s="161"/>
      <c r="BM418" s="161"/>
      <c r="BN418" s="161"/>
      <c r="BO418" s="161"/>
      <c r="BP418" s="161"/>
      <c r="BQ418" s="161"/>
      <c r="BR418" s="161"/>
      <c r="BS418" s="161"/>
      <c r="BT418" s="161"/>
      <c r="BU418" s="161"/>
    </row>
    <row r="419" spans="15:73" x14ac:dyDescent="0.2"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  <c r="AH419" s="161"/>
      <c r="AI419" s="161"/>
      <c r="AJ419" s="161"/>
      <c r="AK419" s="161"/>
      <c r="AL419" s="161"/>
      <c r="AM419" s="161"/>
      <c r="AN419" s="161"/>
      <c r="AO419" s="161"/>
      <c r="AP419" s="161"/>
      <c r="AQ419" s="161"/>
      <c r="AR419" s="161"/>
      <c r="AS419" s="161"/>
      <c r="AT419" s="161"/>
      <c r="AU419" s="161"/>
      <c r="AV419" s="161"/>
      <c r="AW419" s="161"/>
      <c r="AX419" s="161"/>
      <c r="AY419" s="161"/>
      <c r="AZ419" s="161"/>
      <c r="BA419" s="161"/>
      <c r="BB419" s="161"/>
      <c r="BC419" s="161"/>
      <c r="BD419" s="161"/>
      <c r="BE419" s="161"/>
      <c r="BF419" s="161"/>
      <c r="BG419" s="161"/>
      <c r="BH419" s="161"/>
      <c r="BI419" s="161"/>
      <c r="BJ419" s="161"/>
      <c r="BK419" s="161"/>
      <c r="BL419" s="161"/>
      <c r="BM419" s="161"/>
      <c r="BN419" s="161"/>
      <c r="BO419" s="161"/>
      <c r="BP419" s="161"/>
      <c r="BQ419" s="161"/>
      <c r="BR419" s="161"/>
      <c r="BS419" s="161"/>
      <c r="BT419" s="161"/>
      <c r="BU419" s="161"/>
    </row>
    <row r="420" spans="15:73" x14ac:dyDescent="0.2"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  <c r="AN420" s="161"/>
      <c r="AO420" s="161"/>
      <c r="AP420" s="161"/>
      <c r="AQ420" s="161"/>
      <c r="AR420" s="161"/>
      <c r="AS420" s="161"/>
      <c r="AT420" s="161"/>
      <c r="AU420" s="161"/>
      <c r="AV420" s="161"/>
      <c r="AW420" s="161"/>
      <c r="AX420" s="161"/>
      <c r="AY420" s="161"/>
      <c r="AZ420" s="161"/>
      <c r="BA420" s="161"/>
      <c r="BB420" s="161"/>
      <c r="BC420" s="161"/>
      <c r="BD420" s="161"/>
      <c r="BE420" s="161"/>
      <c r="BF420" s="161"/>
      <c r="BG420" s="161"/>
      <c r="BH420" s="161"/>
      <c r="BI420" s="161"/>
      <c r="BJ420" s="161"/>
      <c r="BK420" s="161"/>
      <c r="BL420" s="161"/>
      <c r="BM420" s="161"/>
      <c r="BN420" s="161"/>
      <c r="BO420" s="161"/>
      <c r="BP420" s="161"/>
      <c r="BQ420" s="161"/>
      <c r="BR420" s="161"/>
      <c r="BS420" s="161"/>
      <c r="BT420" s="161"/>
      <c r="BU420" s="161"/>
    </row>
    <row r="421" spans="15:73" x14ac:dyDescent="0.2"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  <c r="AH421" s="161"/>
      <c r="AI421" s="161"/>
      <c r="AJ421" s="161"/>
      <c r="AK421" s="161"/>
      <c r="AL421" s="161"/>
      <c r="AM421" s="161"/>
      <c r="AN421" s="161"/>
      <c r="AO421" s="161"/>
      <c r="AP421" s="161"/>
      <c r="AQ421" s="161"/>
      <c r="AR421" s="161"/>
      <c r="AS421" s="161"/>
      <c r="AT421" s="161"/>
      <c r="AU421" s="161"/>
      <c r="AV421" s="161"/>
      <c r="AW421" s="161"/>
      <c r="AX421" s="161"/>
      <c r="AY421" s="161"/>
      <c r="AZ421" s="161"/>
      <c r="BA421" s="161"/>
      <c r="BB421" s="161"/>
      <c r="BC421" s="161"/>
      <c r="BD421" s="161"/>
      <c r="BE421" s="161"/>
      <c r="BF421" s="161"/>
      <c r="BG421" s="161"/>
      <c r="BH421" s="161"/>
      <c r="BI421" s="161"/>
      <c r="BJ421" s="161"/>
      <c r="BK421" s="161"/>
      <c r="BL421" s="161"/>
      <c r="BM421" s="161"/>
      <c r="BN421" s="161"/>
      <c r="BO421" s="161"/>
      <c r="BP421" s="161"/>
      <c r="BQ421" s="161"/>
      <c r="BR421" s="161"/>
      <c r="BS421" s="161"/>
      <c r="BT421" s="161"/>
      <c r="BU421" s="161"/>
    </row>
    <row r="422" spans="15:73" x14ac:dyDescent="0.2"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  <c r="AH422" s="161"/>
      <c r="AI422" s="161"/>
      <c r="AJ422" s="161"/>
      <c r="AK422" s="161"/>
      <c r="AL422" s="161"/>
      <c r="AM422" s="161"/>
      <c r="AN422" s="161"/>
      <c r="AO422" s="161"/>
      <c r="AP422" s="161"/>
      <c r="AQ422" s="161"/>
      <c r="AR422" s="161"/>
      <c r="AS422" s="161"/>
      <c r="AT422" s="161"/>
      <c r="AU422" s="161"/>
      <c r="AV422" s="161"/>
      <c r="AW422" s="161"/>
      <c r="AX422" s="161"/>
      <c r="AY422" s="161"/>
      <c r="AZ422" s="161"/>
      <c r="BA422" s="161"/>
      <c r="BB422" s="161"/>
      <c r="BC422" s="161"/>
      <c r="BD422" s="161"/>
      <c r="BE422" s="161"/>
      <c r="BF422" s="161"/>
      <c r="BG422" s="161"/>
      <c r="BH422" s="161"/>
      <c r="BI422" s="161"/>
      <c r="BJ422" s="161"/>
      <c r="BK422" s="161"/>
      <c r="BL422" s="161"/>
      <c r="BM422" s="161"/>
      <c r="BN422" s="161"/>
      <c r="BO422" s="161"/>
      <c r="BP422" s="161"/>
      <c r="BQ422" s="161"/>
      <c r="BR422" s="161"/>
      <c r="BS422" s="161"/>
      <c r="BT422" s="161"/>
      <c r="BU422" s="161"/>
    </row>
    <row r="423" spans="15:73" x14ac:dyDescent="0.2"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  <c r="AH423" s="161"/>
      <c r="AI423" s="161"/>
      <c r="AJ423" s="161"/>
      <c r="AK423" s="161"/>
      <c r="AL423" s="161"/>
      <c r="AM423" s="161"/>
      <c r="AN423" s="161"/>
      <c r="AO423" s="161"/>
      <c r="AP423" s="161"/>
      <c r="AQ423" s="161"/>
      <c r="AR423" s="161"/>
      <c r="AS423" s="161"/>
      <c r="AT423" s="161"/>
      <c r="AU423" s="161"/>
      <c r="AV423" s="161"/>
      <c r="AW423" s="161"/>
      <c r="AX423" s="161"/>
      <c r="AY423" s="161"/>
      <c r="AZ423" s="161"/>
      <c r="BA423" s="161"/>
      <c r="BB423" s="161"/>
      <c r="BC423" s="161"/>
      <c r="BD423" s="161"/>
      <c r="BE423" s="161"/>
      <c r="BF423" s="161"/>
      <c r="BG423" s="161"/>
      <c r="BH423" s="161"/>
      <c r="BI423" s="161"/>
      <c r="BJ423" s="161"/>
      <c r="BK423" s="161"/>
      <c r="BL423" s="161"/>
      <c r="BM423" s="161"/>
      <c r="BN423" s="161"/>
      <c r="BO423" s="161"/>
      <c r="BP423" s="161"/>
      <c r="BQ423" s="161"/>
      <c r="BR423" s="161"/>
      <c r="BS423" s="161"/>
      <c r="BT423" s="161"/>
      <c r="BU423" s="161"/>
    </row>
    <row r="424" spans="15:73" x14ac:dyDescent="0.2"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  <c r="AH424" s="161"/>
      <c r="AI424" s="161"/>
      <c r="AJ424" s="161"/>
      <c r="AK424" s="161"/>
      <c r="AL424" s="161"/>
      <c r="AM424" s="161"/>
      <c r="AN424" s="161"/>
      <c r="AO424" s="161"/>
      <c r="AP424" s="161"/>
      <c r="AQ424" s="161"/>
      <c r="AR424" s="161"/>
      <c r="AS424" s="161"/>
      <c r="AT424" s="161"/>
      <c r="AU424" s="161"/>
      <c r="AV424" s="161"/>
      <c r="AW424" s="161"/>
      <c r="AX424" s="161"/>
      <c r="AY424" s="161"/>
      <c r="AZ424" s="161"/>
      <c r="BA424" s="161"/>
      <c r="BB424" s="161"/>
      <c r="BC424" s="161"/>
      <c r="BD424" s="161"/>
      <c r="BE424" s="161"/>
      <c r="BF424" s="161"/>
      <c r="BG424" s="161"/>
      <c r="BH424" s="161"/>
      <c r="BI424" s="161"/>
      <c r="BJ424" s="161"/>
      <c r="BK424" s="161"/>
      <c r="BL424" s="161"/>
      <c r="BM424" s="161"/>
      <c r="BN424" s="161"/>
      <c r="BO424" s="161"/>
      <c r="BP424" s="161"/>
      <c r="BQ424" s="161"/>
      <c r="BR424" s="161"/>
      <c r="BS424" s="161"/>
      <c r="BT424" s="161"/>
      <c r="BU424" s="161"/>
    </row>
    <row r="425" spans="15:73" x14ac:dyDescent="0.2"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  <c r="AH425" s="161"/>
      <c r="AI425" s="161"/>
      <c r="AJ425" s="161"/>
      <c r="AK425" s="161"/>
      <c r="AL425" s="161"/>
      <c r="AM425" s="161"/>
      <c r="AN425" s="161"/>
      <c r="AO425" s="161"/>
      <c r="AP425" s="161"/>
      <c r="AQ425" s="161"/>
      <c r="AR425" s="161"/>
      <c r="AS425" s="161"/>
      <c r="AT425" s="161"/>
      <c r="AU425" s="161"/>
      <c r="AV425" s="161"/>
      <c r="AW425" s="161"/>
      <c r="AX425" s="161"/>
      <c r="AY425" s="161"/>
      <c r="AZ425" s="161"/>
      <c r="BA425" s="161"/>
      <c r="BB425" s="161"/>
      <c r="BC425" s="161"/>
      <c r="BD425" s="161"/>
      <c r="BE425" s="161"/>
      <c r="BF425" s="161"/>
      <c r="BG425" s="161"/>
      <c r="BH425" s="161"/>
      <c r="BI425" s="161"/>
      <c r="BJ425" s="161"/>
      <c r="BK425" s="161"/>
      <c r="BL425" s="161"/>
      <c r="BM425" s="161"/>
      <c r="BN425" s="161"/>
      <c r="BO425" s="161"/>
      <c r="BP425" s="161"/>
      <c r="BQ425" s="161"/>
      <c r="BR425" s="161"/>
      <c r="BS425" s="161"/>
      <c r="BT425" s="161"/>
      <c r="BU425" s="161"/>
    </row>
    <row r="426" spans="15:73" x14ac:dyDescent="0.2"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  <c r="AH426" s="161"/>
      <c r="AI426" s="161"/>
      <c r="AJ426" s="161"/>
      <c r="AK426" s="161"/>
      <c r="AL426" s="161"/>
      <c r="AM426" s="161"/>
      <c r="AN426" s="161"/>
      <c r="AO426" s="161"/>
      <c r="AP426" s="161"/>
      <c r="AQ426" s="161"/>
      <c r="AR426" s="161"/>
      <c r="AS426" s="161"/>
      <c r="AT426" s="161"/>
      <c r="AU426" s="161"/>
      <c r="AV426" s="161"/>
      <c r="AW426" s="161"/>
      <c r="AX426" s="161"/>
      <c r="AY426" s="161"/>
      <c r="AZ426" s="161"/>
      <c r="BA426" s="161"/>
      <c r="BB426" s="161"/>
      <c r="BC426" s="161"/>
      <c r="BD426" s="161"/>
      <c r="BE426" s="161"/>
      <c r="BF426" s="161"/>
      <c r="BG426" s="161"/>
      <c r="BH426" s="161"/>
      <c r="BI426" s="161"/>
      <c r="BJ426" s="161"/>
      <c r="BK426" s="161"/>
      <c r="BL426" s="161"/>
      <c r="BM426" s="161"/>
      <c r="BN426" s="161"/>
      <c r="BO426" s="161"/>
      <c r="BP426" s="161"/>
      <c r="BQ426" s="161"/>
      <c r="BR426" s="161"/>
      <c r="BS426" s="161"/>
      <c r="BT426" s="161"/>
      <c r="BU426" s="161"/>
    </row>
    <row r="427" spans="15:73" x14ac:dyDescent="0.2"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  <c r="AH427" s="161"/>
      <c r="AI427" s="161"/>
      <c r="AJ427" s="161"/>
      <c r="AK427" s="161"/>
      <c r="AL427" s="161"/>
      <c r="AM427" s="161"/>
      <c r="AN427" s="161"/>
      <c r="AO427" s="161"/>
      <c r="AP427" s="161"/>
      <c r="AQ427" s="161"/>
      <c r="AR427" s="161"/>
      <c r="AS427" s="161"/>
      <c r="AT427" s="161"/>
      <c r="AU427" s="161"/>
      <c r="AV427" s="161"/>
      <c r="AW427" s="161"/>
      <c r="AX427" s="161"/>
      <c r="AY427" s="161"/>
      <c r="AZ427" s="161"/>
      <c r="BA427" s="161"/>
      <c r="BB427" s="161"/>
      <c r="BC427" s="161"/>
      <c r="BD427" s="161"/>
      <c r="BE427" s="161"/>
      <c r="BF427" s="161"/>
      <c r="BG427" s="161"/>
      <c r="BH427" s="161"/>
      <c r="BI427" s="161"/>
      <c r="BJ427" s="161"/>
      <c r="BK427" s="161"/>
      <c r="BL427" s="161"/>
      <c r="BM427" s="161"/>
      <c r="BN427" s="161"/>
      <c r="BO427" s="161"/>
      <c r="BP427" s="161"/>
      <c r="BQ427" s="161"/>
      <c r="BR427" s="161"/>
      <c r="BS427" s="161"/>
      <c r="BT427" s="161"/>
      <c r="BU427" s="161"/>
    </row>
    <row r="428" spans="15:73" x14ac:dyDescent="0.2"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  <c r="AH428" s="161"/>
      <c r="AI428" s="161"/>
      <c r="AJ428" s="161"/>
      <c r="AK428" s="161"/>
      <c r="AL428" s="161"/>
      <c r="AM428" s="161"/>
      <c r="AN428" s="161"/>
      <c r="AO428" s="161"/>
      <c r="AP428" s="161"/>
      <c r="AQ428" s="161"/>
      <c r="AR428" s="161"/>
      <c r="AS428" s="161"/>
      <c r="AT428" s="161"/>
      <c r="AU428" s="161"/>
      <c r="AV428" s="161"/>
      <c r="AW428" s="161"/>
      <c r="AX428" s="161"/>
      <c r="AY428" s="161"/>
      <c r="AZ428" s="161"/>
      <c r="BA428" s="161"/>
      <c r="BB428" s="161"/>
      <c r="BC428" s="161"/>
      <c r="BD428" s="161"/>
      <c r="BE428" s="161"/>
      <c r="BF428" s="161"/>
      <c r="BG428" s="161"/>
      <c r="BH428" s="161"/>
      <c r="BI428" s="161"/>
      <c r="BJ428" s="161"/>
      <c r="BK428" s="161"/>
      <c r="BL428" s="161"/>
      <c r="BM428" s="161"/>
      <c r="BN428" s="161"/>
      <c r="BO428" s="161"/>
      <c r="BP428" s="161"/>
      <c r="BQ428" s="161"/>
      <c r="BR428" s="161"/>
      <c r="BS428" s="161"/>
      <c r="BT428" s="161"/>
      <c r="BU428" s="161"/>
    </row>
    <row r="429" spans="15:73" x14ac:dyDescent="0.2"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  <c r="AH429" s="161"/>
      <c r="AI429" s="161"/>
      <c r="AJ429" s="161"/>
      <c r="AK429" s="161"/>
      <c r="AL429" s="161"/>
      <c r="AM429" s="161"/>
      <c r="AN429" s="161"/>
      <c r="AO429" s="161"/>
      <c r="AP429" s="161"/>
      <c r="AQ429" s="161"/>
      <c r="AR429" s="161"/>
      <c r="AS429" s="161"/>
      <c r="AT429" s="161"/>
      <c r="AU429" s="161"/>
      <c r="AV429" s="161"/>
      <c r="AW429" s="161"/>
      <c r="AX429" s="161"/>
      <c r="AY429" s="161"/>
      <c r="AZ429" s="161"/>
      <c r="BA429" s="161"/>
      <c r="BB429" s="161"/>
      <c r="BC429" s="161"/>
      <c r="BD429" s="161"/>
      <c r="BE429" s="161"/>
      <c r="BF429" s="161"/>
      <c r="BG429" s="161"/>
      <c r="BH429" s="161"/>
      <c r="BI429" s="161"/>
      <c r="BJ429" s="161"/>
      <c r="BK429" s="161"/>
      <c r="BL429" s="161"/>
      <c r="BM429" s="161"/>
      <c r="BN429" s="161"/>
      <c r="BO429" s="161"/>
      <c r="BP429" s="161"/>
      <c r="BQ429" s="161"/>
      <c r="BR429" s="161"/>
      <c r="BS429" s="161"/>
      <c r="BT429" s="161"/>
      <c r="BU429" s="161"/>
    </row>
    <row r="430" spans="15:73" x14ac:dyDescent="0.2"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  <c r="AH430" s="161"/>
      <c r="AI430" s="161"/>
      <c r="AJ430" s="161"/>
      <c r="AK430" s="161"/>
      <c r="AL430" s="161"/>
      <c r="AM430" s="161"/>
      <c r="AN430" s="161"/>
      <c r="AO430" s="161"/>
      <c r="AP430" s="161"/>
      <c r="AQ430" s="161"/>
      <c r="AR430" s="161"/>
      <c r="AS430" s="161"/>
      <c r="AT430" s="161"/>
      <c r="AU430" s="161"/>
      <c r="AV430" s="161"/>
      <c r="AW430" s="161"/>
      <c r="AX430" s="161"/>
      <c r="AY430" s="161"/>
      <c r="AZ430" s="161"/>
      <c r="BA430" s="161"/>
      <c r="BB430" s="161"/>
      <c r="BC430" s="161"/>
      <c r="BD430" s="161"/>
      <c r="BE430" s="161"/>
      <c r="BF430" s="161"/>
      <c r="BG430" s="161"/>
      <c r="BH430" s="161"/>
      <c r="BI430" s="161"/>
      <c r="BJ430" s="161"/>
      <c r="BK430" s="161"/>
      <c r="BL430" s="161"/>
      <c r="BM430" s="161"/>
      <c r="BN430" s="161"/>
      <c r="BO430" s="161"/>
      <c r="BP430" s="161"/>
      <c r="BQ430" s="161"/>
      <c r="BR430" s="161"/>
      <c r="BS430" s="161"/>
      <c r="BT430" s="161"/>
      <c r="BU430" s="161"/>
    </row>
    <row r="431" spans="15:73" x14ac:dyDescent="0.2"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  <c r="AH431" s="161"/>
      <c r="AI431" s="161"/>
      <c r="AJ431" s="161"/>
      <c r="AK431" s="161"/>
      <c r="AL431" s="161"/>
      <c r="AM431" s="161"/>
      <c r="AN431" s="161"/>
      <c r="AO431" s="161"/>
      <c r="AP431" s="161"/>
      <c r="AQ431" s="161"/>
      <c r="AR431" s="161"/>
      <c r="AS431" s="161"/>
      <c r="AT431" s="161"/>
      <c r="AU431" s="161"/>
      <c r="AV431" s="161"/>
      <c r="AW431" s="161"/>
      <c r="AX431" s="161"/>
      <c r="AY431" s="161"/>
      <c r="AZ431" s="161"/>
      <c r="BA431" s="161"/>
      <c r="BB431" s="161"/>
      <c r="BC431" s="161"/>
      <c r="BD431" s="161"/>
      <c r="BE431" s="161"/>
      <c r="BF431" s="161"/>
      <c r="BG431" s="161"/>
      <c r="BH431" s="161"/>
      <c r="BI431" s="161"/>
      <c r="BJ431" s="161"/>
      <c r="BK431" s="161"/>
      <c r="BL431" s="161"/>
      <c r="BM431" s="161"/>
      <c r="BN431" s="161"/>
      <c r="BO431" s="161"/>
      <c r="BP431" s="161"/>
      <c r="BQ431" s="161"/>
      <c r="BR431" s="161"/>
      <c r="BS431" s="161"/>
      <c r="BT431" s="161"/>
      <c r="BU431" s="161"/>
    </row>
    <row r="432" spans="15:73" x14ac:dyDescent="0.2"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  <c r="AH432" s="161"/>
      <c r="AI432" s="161"/>
      <c r="AJ432" s="161"/>
      <c r="AK432" s="161"/>
      <c r="AL432" s="161"/>
      <c r="AM432" s="161"/>
      <c r="AN432" s="161"/>
      <c r="AO432" s="161"/>
      <c r="AP432" s="161"/>
      <c r="AQ432" s="161"/>
      <c r="AR432" s="161"/>
      <c r="AS432" s="161"/>
      <c r="AT432" s="161"/>
      <c r="AU432" s="161"/>
      <c r="AV432" s="161"/>
      <c r="AW432" s="161"/>
      <c r="AX432" s="161"/>
      <c r="AY432" s="161"/>
      <c r="AZ432" s="161"/>
      <c r="BA432" s="161"/>
      <c r="BB432" s="161"/>
      <c r="BC432" s="161"/>
      <c r="BD432" s="161"/>
      <c r="BE432" s="161"/>
      <c r="BF432" s="161"/>
      <c r="BG432" s="161"/>
      <c r="BH432" s="161"/>
      <c r="BI432" s="161"/>
      <c r="BJ432" s="161"/>
      <c r="BK432" s="161"/>
      <c r="BL432" s="161"/>
      <c r="BM432" s="161"/>
      <c r="BN432" s="161"/>
      <c r="BO432" s="161"/>
      <c r="BP432" s="161"/>
      <c r="BQ432" s="161"/>
      <c r="BR432" s="161"/>
      <c r="BS432" s="161"/>
      <c r="BT432" s="161"/>
      <c r="BU432" s="161"/>
    </row>
    <row r="433" spans="15:73" x14ac:dyDescent="0.2"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  <c r="AH433" s="161"/>
      <c r="AI433" s="161"/>
      <c r="AJ433" s="161"/>
      <c r="AK433" s="161"/>
      <c r="AL433" s="161"/>
      <c r="AM433" s="161"/>
      <c r="AN433" s="161"/>
      <c r="AO433" s="161"/>
      <c r="AP433" s="161"/>
      <c r="AQ433" s="161"/>
      <c r="AR433" s="161"/>
      <c r="AS433" s="161"/>
      <c r="AT433" s="161"/>
      <c r="AU433" s="161"/>
      <c r="AV433" s="161"/>
      <c r="AW433" s="161"/>
      <c r="AX433" s="161"/>
      <c r="AY433" s="161"/>
      <c r="AZ433" s="161"/>
      <c r="BA433" s="161"/>
      <c r="BB433" s="161"/>
      <c r="BC433" s="161"/>
      <c r="BD433" s="161"/>
      <c r="BE433" s="161"/>
      <c r="BF433" s="161"/>
      <c r="BG433" s="161"/>
      <c r="BH433" s="161"/>
      <c r="BI433" s="161"/>
      <c r="BJ433" s="161"/>
      <c r="BK433" s="161"/>
      <c r="BL433" s="161"/>
      <c r="BM433" s="161"/>
      <c r="BN433" s="161"/>
      <c r="BO433" s="161"/>
      <c r="BP433" s="161"/>
      <c r="BQ433" s="161"/>
      <c r="BR433" s="161"/>
      <c r="BS433" s="161"/>
      <c r="BT433" s="161"/>
      <c r="BU433" s="161"/>
    </row>
    <row r="434" spans="15:73" x14ac:dyDescent="0.2"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  <c r="AH434" s="161"/>
      <c r="AI434" s="161"/>
      <c r="AJ434" s="161"/>
      <c r="AK434" s="161"/>
      <c r="AL434" s="161"/>
      <c r="AM434" s="161"/>
      <c r="AN434" s="161"/>
      <c r="AO434" s="161"/>
      <c r="AP434" s="161"/>
      <c r="AQ434" s="161"/>
      <c r="AR434" s="161"/>
      <c r="AS434" s="161"/>
      <c r="AT434" s="161"/>
      <c r="AU434" s="161"/>
      <c r="AV434" s="161"/>
      <c r="AW434" s="161"/>
      <c r="AX434" s="161"/>
      <c r="AY434" s="161"/>
      <c r="AZ434" s="161"/>
      <c r="BA434" s="161"/>
      <c r="BB434" s="161"/>
      <c r="BC434" s="161"/>
      <c r="BD434" s="161"/>
      <c r="BE434" s="161"/>
      <c r="BF434" s="161"/>
      <c r="BG434" s="161"/>
      <c r="BH434" s="161"/>
      <c r="BI434" s="161"/>
      <c r="BJ434" s="161"/>
      <c r="BK434" s="161"/>
      <c r="BL434" s="161"/>
      <c r="BM434" s="161"/>
      <c r="BN434" s="161"/>
      <c r="BO434" s="161"/>
      <c r="BP434" s="161"/>
      <c r="BQ434" s="161"/>
      <c r="BR434" s="161"/>
      <c r="BS434" s="161"/>
      <c r="BT434" s="161"/>
      <c r="BU434" s="161"/>
    </row>
    <row r="435" spans="15:73" x14ac:dyDescent="0.2"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  <c r="AH435" s="161"/>
      <c r="AI435" s="161"/>
      <c r="AJ435" s="161"/>
      <c r="AK435" s="161"/>
      <c r="AL435" s="161"/>
      <c r="AM435" s="161"/>
      <c r="AN435" s="161"/>
      <c r="AO435" s="161"/>
      <c r="AP435" s="161"/>
      <c r="AQ435" s="161"/>
      <c r="AR435" s="161"/>
      <c r="AS435" s="161"/>
      <c r="AT435" s="161"/>
      <c r="AU435" s="161"/>
      <c r="AV435" s="161"/>
      <c r="AW435" s="161"/>
      <c r="AX435" s="161"/>
      <c r="AY435" s="161"/>
      <c r="AZ435" s="161"/>
      <c r="BA435" s="161"/>
      <c r="BB435" s="161"/>
      <c r="BC435" s="161"/>
      <c r="BD435" s="161"/>
      <c r="BE435" s="161"/>
      <c r="BF435" s="161"/>
      <c r="BG435" s="161"/>
      <c r="BH435" s="161"/>
      <c r="BI435" s="161"/>
      <c r="BJ435" s="161"/>
      <c r="BK435" s="161"/>
      <c r="BL435" s="161"/>
      <c r="BM435" s="161"/>
      <c r="BN435" s="161"/>
      <c r="BO435" s="161"/>
      <c r="BP435" s="161"/>
      <c r="BQ435" s="161"/>
      <c r="BR435" s="161"/>
      <c r="BS435" s="161"/>
      <c r="BT435" s="161"/>
      <c r="BU435" s="161"/>
    </row>
    <row r="436" spans="15:73" x14ac:dyDescent="0.2"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  <c r="AH436" s="161"/>
      <c r="AI436" s="161"/>
      <c r="AJ436" s="161"/>
      <c r="AK436" s="161"/>
      <c r="AL436" s="161"/>
      <c r="AM436" s="161"/>
      <c r="AN436" s="161"/>
      <c r="AO436" s="161"/>
      <c r="AP436" s="161"/>
      <c r="AQ436" s="161"/>
      <c r="AR436" s="161"/>
      <c r="AS436" s="161"/>
      <c r="AT436" s="161"/>
      <c r="AU436" s="161"/>
      <c r="AV436" s="161"/>
      <c r="AW436" s="161"/>
      <c r="AX436" s="161"/>
      <c r="AY436" s="161"/>
      <c r="AZ436" s="161"/>
      <c r="BA436" s="161"/>
      <c r="BB436" s="161"/>
      <c r="BC436" s="161"/>
      <c r="BD436" s="161"/>
      <c r="BE436" s="161"/>
      <c r="BF436" s="161"/>
      <c r="BG436" s="161"/>
      <c r="BH436" s="161"/>
      <c r="BI436" s="161"/>
      <c r="BJ436" s="161"/>
      <c r="BK436" s="161"/>
      <c r="BL436" s="161"/>
      <c r="BM436" s="161"/>
      <c r="BN436" s="161"/>
      <c r="BO436" s="161"/>
      <c r="BP436" s="161"/>
      <c r="BQ436" s="161"/>
      <c r="BR436" s="161"/>
      <c r="BS436" s="161"/>
      <c r="BT436" s="161"/>
      <c r="BU436" s="161"/>
    </row>
    <row r="437" spans="15:73" x14ac:dyDescent="0.2"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  <c r="AH437" s="161"/>
      <c r="AI437" s="161"/>
      <c r="AJ437" s="161"/>
      <c r="AK437" s="161"/>
      <c r="AL437" s="161"/>
      <c r="AM437" s="161"/>
      <c r="AN437" s="161"/>
      <c r="AO437" s="161"/>
      <c r="AP437" s="161"/>
      <c r="AQ437" s="161"/>
      <c r="AR437" s="161"/>
      <c r="AS437" s="161"/>
      <c r="AT437" s="161"/>
      <c r="AU437" s="161"/>
      <c r="AV437" s="161"/>
      <c r="AW437" s="161"/>
      <c r="AX437" s="161"/>
      <c r="AY437" s="161"/>
      <c r="AZ437" s="161"/>
      <c r="BA437" s="161"/>
      <c r="BB437" s="161"/>
      <c r="BC437" s="161"/>
      <c r="BD437" s="161"/>
      <c r="BE437" s="161"/>
      <c r="BF437" s="161"/>
      <c r="BG437" s="161"/>
      <c r="BH437" s="161"/>
      <c r="BI437" s="161"/>
      <c r="BJ437" s="161"/>
      <c r="BK437" s="161"/>
      <c r="BL437" s="161"/>
      <c r="BM437" s="161"/>
      <c r="BN437" s="161"/>
      <c r="BO437" s="161"/>
      <c r="BP437" s="161"/>
      <c r="BQ437" s="161"/>
      <c r="BR437" s="161"/>
      <c r="BS437" s="161"/>
      <c r="BT437" s="161"/>
      <c r="BU437" s="161"/>
    </row>
    <row r="438" spans="15:73" x14ac:dyDescent="0.2"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  <c r="AH438" s="161"/>
      <c r="AI438" s="161"/>
      <c r="AJ438" s="161"/>
      <c r="AK438" s="161"/>
      <c r="AL438" s="161"/>
      <c r="AM438" s="161"/>
      <c r="AN438" s="161"/>
      <c r="AO438" s="161"/>
      <c r="AP438" s="161"/>
      <c r="AQ438" s="161"/>
      <c r="AR438" s="161"/>
      <c r="AS438" s="161"/>
      <c r="AT438" s="161"/>
      <c r="AU438" s="161"/>
      <c r="AV438" s="161"/>
      <c r="AW438" s="161"/>
      <c r="AX438" s="161"/>
      <c r="AY438" s="161"/>
      <c r="AZ438" s="161"/>
      <c r="BA438" s="161"/>
      <c r="BB438" s="161"/>
      <c r="BC438" s="161"/>
      <c r="BD438" s="161"/>
      <c r="BE438" s="161"/>
      <c r="BF438" s="161"/>
      <c r="BG438" s="161"/>
      <c r="BH438" s="161"/>
      <c r="BI438" s="161"/>
      <c r="BJ438" s="161"/>
      <c r="BK438" s="161"/>
      <c r="BL438" s="161"/>
      <c r="BM438" s="161"/>
      <c r="BN438" s="161"/>
      <c r="BO438" s="161"/>
      <c r="BP438" s="161"/>
      <c r="BQ438" s="161"/>
      <c r="BR438" s="161"/>
      <c r="BS438" s="161"/>
      <c r="BT438" s="161"/>
      <c r="BU438" s="161"/>
    </row>
    <row r="439" spans="15:73" x14ac:dyDescent="0.2"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  <c r="AH439" s="161"/>
      <c r="AI439" s="161"/>
      <c r="AJ439" s="161"/>
      <c r="AK439" s="161"/>
      <c r="AL439" s="161"/>
      <c r="AM439" s="161"/>
      <c r="AN439" s="161"/>
      <c r="AO439" s="161"/>
      <c r="AP439" s="161"/>
      <c r="AQ439" s="161"/>
      <c r="AR439" s="161"/>
      <c r="AS439" s="161"/>
      <c r="AT439" s="161"/>
      <c r="AU439" s="161"/>
      <c r="AV439" s="161"/>
      <c r="AW439" s="161"/>
      <c r="AX439" s="161"/>
      <c r="AY439" s="161"/>
      <c r="AZ439" s="161"/>
      <c r="BA439" s="161"/>
      <c r="BB439" s="161"/>
      <c r="BC439" s="161"/>
      <c r="BD439" s="161"/>
      <c r="BE439" s="161"/>
      <c r="BF439" s="161"/>
      <c r="BG439" s="161"/>
      <c r="BH439" s="161"/>
      <c r="BI439" s="161"/>
      <c r="BJ439" s="161"/>
      <c r="BK439" s="161"/>
      <c r="BL439" s="161"/>
      <c r="BM439" s="161"/>
      <c r="BN439" s="161"/>
      <c r="BO439" s="161"/>
      <c r="BP439" s="161"/>
      <c r="BQ439" s="161"/>
      <c r="BR439" s="161"/>
      <c r="BS439" s="161"/>
      <c r="BT439" s="161"/>
      <c r="BU439" s="161"/>
    </row>
    <row r="440" spans="15:73" x14ac:dyDescent="0.2"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  <c r="AH440" s="161"/>
      <c r="AI440" s="161"/>
      <c r="AJ440" s="161"/>
      <c r="AK440" s="161"/>
      <c r="AL440" s="161"/>
      <c r="AM440" s="161"/>
      <c r="AN440" s="161"/>
      <c r="AO440" s="161"/>
      <c r="AP440" s="161"/>
      <c r="AQ440" s="161"/>
      <c r="AR440" s="161"/>
      <c r="AS440" s="161"/>
      <c r="AT440" s="161"/>
      <c r="AU440" s="161"/>
      <c r="AV440" s="161"/>
      <c r="AW440" s="161"/>
      <c r="AX440" s="161"/>
      <c r="AY440" s="161"/>
      <c r="AZ440" s="161"/>
      <c r="BA440" s="161"/>
      <c r="BB440" s="161"/>
      <c r="BC440" s="161"/>
      <c r="BD440" s="161"/>
      <c r="BE440" s="161"/>
      <c r="BF440" s="161"/>
      <c r="BG440" s="161"/>
      <c r="BH440" s="161"/>
      <c r="BI440" s="161"/>
      <c r="BJ440" s="161"/>
      <c r="BK440" s="161"/>
      <c r="BL440" s="161"/>
      <c r="BM440" s="161"/>
      <c r="BN440" s="161"/>
      <c r="BO440" s="161"/>
      <c r="BP440" s="161"/>
      <c r="BQ440" s="161"/>
      <c r="BR440" s="161"/>
      <c r="BS440" s="161"/>
      <c r="BT440" s="161"/>
      <c r="BU440" s="161"/>
    </row>
    <row r="441" spans="15:73" x14ac:dyDescent="0.2"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  <c r="AH441" s="161"/>
      <c r="AI441" s="161"/>
      <c r="AJ441" s="161"/>
      <c r="AK441" s="161"/>
      <c r="AL441" s="161"/>
      <c r="AM441" s="161"/>
      <c r="AN441" s="161"/>
      <c r="AO441" s="161"/>
      <c r="AP441" s="161"/>
      <c r="AQ441" s="161"/>
      <c r="AR441" s="161"/>
      <c r="AS441" s="161"/>
      <c r="AT441" s="161"/>
      <c r="AU441" s="161"/>
      <c r="AV441" s="161"/>
      <c r="AW441" s="161"/>
      <c r="AX441" s="161"/>
      <c r="AY441" s="161"/>
      <c r="AZ441" s="161"/>
      <c r="BA441" s="161"/>
      <c r="BB441" s="161"/>
      <c r="BC441" s="161"/>
      <c r="BD441" s="161"/>
      <c r="BE441" s="161"/>
      <c r="BF441" s="161"/>
      <c r="BG441" s="161"/>
      <c r="BH441" s="161"/>
      <c r="BI441" s="161"/>
      <c r="BJ441" s="161"/>
      <c r="BK441" s="161"/>
      <c r="BL441" s="161"/>
      <c r="BM441" s="161"/>
      <c r="BN441" s="161"/>
      <c r="BO441" s="161"/>
      <c r="BP441" s="161"/>
      <c r="BQ441" s="161"/>
      <c r="BR441" s="161"/>
      <c r="BS441" s="161"/>
      <c r="BT441" s="161"/>
      <c r="BU441" s="161"/>
    </row>
    <row r="442" spans="15:73" x14ac:dyDescent="0.2"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  <c r="AH442" s="161"/>
      <c r="AI442" s="161"/>
      <c r="AJ442" s="161"/>
      <c r="AK442" s="161"/>
      <c r="AL442" s="161"/>
      <c r="AM442" s="161"/>
      <c r="AN442" s="161"/>
      <c r="AO442" s="161"/>
      <c r="AP442" s="161"/>
      <c r="AQ442" s="161"/>
      <c r="AR442" s="161"/>
      <c r="AS442" s="161"/>
      <c r="AT442" s="161"/>
      <c r="AU442" s="161"/>
      <c r="AV442" s="161"/>
      <c r="AW442" s="161"/>
      <c r="AX442" s="161"/>
      <c r="AY442" s="161"/>
      <c r="AZ442" s="161"/>
      <c r="BA442" s="161"/>
      <c r="BB442" s="161"/>
      <c r="BC442" s="161"/>
      <c r="BD442" s="161"/>
      <c r="BE442" s="161"/>
      <c r="BF442" s="161"/>
      <c r="BG442" s="161"/>
      <c r="BH442" s="161"/>
      <c r="BI442" s="161"/>
      <c r="BJ442" s="161"/>
      <c r="BK442" s="161"/>
      <c r="BL442" s="161"/>
      <c r="BM442" s="161"/>
      <c r="BN442" s="161"/>
      <c r="BO442" s="161"/>
      <c r="BP442" s="161"/>
      <c r="BQ442" s="161"/>
      <c r="BR442" s="161"/>
      <c r="BS442" s="161"/>
      <c r="BT442" s="161"/>
      <c r="BU442" s="161"/>
    </row>
    <row r="443" spans="15:73" x14ac:dyDescent="0.2"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  <c r="AH443" s="161"/>
      <c r="AI443" s="161"/>
      <c r="AJ443" s="161"/>
      <c r="AK443" s="161"/>
      <c r="AL443" s="161"/>
      <c r="AM443" s="161"/>
      <c r="AN443" s="161"/>
      <c r="AO443" s="161"/>
      <c r="AP443" s="161"/>
      <c r="AQ443" s="161"/>
      <c r="AR443" s="161"/>
      <c r="AS443" s="161"/>
      <c r="AT443" s="161"/>
      <c r="AU443" s="161"/>
      <c r="AV443" s="161"/>
      <c r="AW443" s="161"/>
      <c r="AX443" s="161"/>
      <c r="AY443" s="161"/>
      <c r="AZ443" s="161"/>
      <c r="BA443" s="161"/>
      <c r="BB443" s="161"/>
      <c r="BC443" s="161"/>
      <c r="BD443" s="161"/>
      <c r="BE443" s="161"/>
      <c r="BF443" s="161"/>
      <c r="BG443" s="161"/>
      <c r="BH443" s="161"/>
      <c r="BI443" s="161"/>
      <c r="BJ443" s="161"/>
      <c r="BK443" s="161"/>
      <c r="BL443" s="161"/>
      <c r="BM443" s="161"/>
      <c r="BN443" s="161"/>
      <c r="BO443" s="161"/>
      <c r="BP443" s="161"/>
      <c r="BQ443" s="161"/>
      <c r="BR443" s="161"/>
      <c r="BS443" s="161"/>
      <c r="BT443" s="161"/>
      <c r="BU443" s="161"/>
    </row>
    <row r="444" spans="15:73" x14ac:dyDescent="0.2"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  <c r="AH444" s="161"/>
      <c r="AI444" s="161"/>
      <c r="AJ444" s="161"/>
      <c r="AK444" s="161"/>
      <c r="AL444" s="161"/>
      <c r="AM444" s="161"/>
      <c r="AN444" s="161"/>
      <c r="AO444" s="161"/>
      <c r="AP444" s="161"/>
      <c r="AQ444" s="161"/>
      <c r="AR444" s="161"/>
      <c r="AS444" s="161"/>
      <c r="AT444" s="161"/>
      <c r="AU444" s="161"/>
      <c r="AV444" s="161"/>
      <c r="AW444" s="161"/>
      <c r="AX444" s="161"/>
      <c r="AY444" s="161"/>
      <c r="AZ444" s="161"/>
      <c r="BA444" s="161"/>
      <c r="BB444" s="161"/>
      <c r="BC444" s="161"/>
      <c r="BD444" s="161"/>
      <c r="BE444" s="161"/>
      <c r="BF444" s="161"/>
      <c r="BG444" s="161"/>
      <c r="BH444" s="161"/>
      <c r="BI444" s="161"/>
      <c r="BJ444" s="161"/>
      <c r="BK444" s="161"/>
      <c r="BL444" s="161"/>
      <c r="BM444" s="161"/>
      <c r="BN444" s="161"/>
      <c r="BO444" s="161"/>
      <c r="BP444" s="161"/>
      <c r="BQ444" s="161"/>
      <c r="BR444" s="161"/>
      <c r="BS444" s="161"/>
      <c r="BT444" s="161"/>
      <c r="BU444" s="161"/>
    </row>
    <row r="445" spans="15:73" x14ac:dyDescent="0.2"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  <c r="AH445" s="161"/>
      <c r="AI445" s="161"/>
      <c r="AJ445" s="161"/>
      <c r="AK445" s="161"/>
      <c r="AL445" s="161"/>
      <c r="AM445" s="161"/>
      <c r="AN445" s="161"/>
      <c r="AO445" s="161"/>
      <c r="AP445" s="161"/>
      <c r="AQ445" s="161"/>
      <c r="AR445" s="161"/>
      <c r="AS445" s="161"/>
      <c r="AT445" s="161"/>
      <c r="AU445" s="161"/>
      <c r="AV445" s="161"/>
      <c r="AW445" s="161"/>
      <c r="AX445" s="161"/>
      <c r="AY445" s="161"/>
      <c r="AZ445" s="161"/>
      <c r="BA445" s="161"/>
      <c r="BB445" s="161"/>
      <c r="BC445" s="161"/>
      <c r="BD445" s="161"/>
      <c r="BE445" s="161"/>
      <c r="BF445" s="161"/>
      <c r="BG445" s="161"/>
      <c r="BH445" s="161"/>
      <c r="BI445" s="161"/>
      <c r="BJ445" s="161"/>
      <c r="BK445" s="161"/>
      <c r="BL445" s="161"/>
      <c r="BM445" s="161"/>
      <c r="BN445" s="161"/>
      <c r="BO445" s="161"/>
      <c r="BP445" s="161"/>
      <c r="BQ445" s="161"/>
      <c r="BR445" s="161"/>
      <c r="BS445" s="161"/>
      <c r="BT445" s="161"/>
      <c r="BU445" s="161"/>
    </row>
    <row r="446" spans="15:73" x14ac:dyDescent="0.2"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  <c r="AH446" s="161"/>
      <c r="AI446" s="161"/>
      <c r="AJ446" s="161"/>
      <c r="AK446" s="161"/>
      <c r="AL446" s="161"/>
      <c r="AM446" s="161"/>
      <c r="AN446" s="161"/>
      <c r="AO446" s="161"/>
      <c r="AP446" s="161"/>
      <c r="AQ446" s="161"/>
      <c r="AR446" s="161"/>
      <c r="AS446" s="161"/>
      <c r="AT446" s="161"/>
      <c r="AU446" s="161"/>
      <c r="AV446" s="161"/>
      <c r="AW446" s="161"/>
      <c r="AX446" s="161"/>
      <c r="AY446" s="161"/>
      <c r="AZ446" s="161"/>
      <c r="BA446" s="161"/>
      <c r="BB446" s="161"/>
      <c r="BC446" s="161"/>
      <c r="BD446" s="161"/>
      <c r="BE446" s="161"/>
      <c r="BF446" s="161"/>
      <c r="BG446" s="161"/>
      <c r="BH446" s="161"/>
      <c r="BI446" s="161"/>
      <c r="BJ446" s="161"/>
      <c r="BK446" s="161"/>
      <c r="BL446" s="161"/>
      <c r="BM446" s="161"/>
      <c r="BN446" s="161"/>
      <c r="BO446" s="161"/>
      <c r="BP446" s="161"/>
      <c r="BQ446" s="161"/>
      <c r="BR446" s="161"/>
      <c r="BS446" s="161"/>
      <c r="BT446" s="161"/>
      <c r="BU446" s="161"/>
    </row>
    <row r="447" spans="15:73" x14ac:dyDescent="0.2"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  <c r="AH447" s="161"/>
      <c r="AI447" s="161"/>
      <c r="AJ447" s="161"/>
      <c r="AK447" s="161"/>
      <c r="AL447" s="161"/>
      <c r="AM447" s="161"/>
      <c r="AN447" s="161"/>
      <c r="AO447" s="161"/>
      <c r="AP447" s="161"/>
      <c r="AQ447" s="161"/>
      <c r="AR447" s="161"/>
      <c r="AS447" s="161"/>
      <c r="AT447" s="161"/>
      <c r="AU447" s="161"/>
      <c r="AV447" s="161"/>
      <c r="AW447" s="161"/>
      <c r="AX447" s="161"/>
      <c r="AY447" s="161"/>
      <c r="AZ447" s="161"/>
      <c r="BA447" s="161"/>
      <c r="BB447" s="161"/>
      <c r="BC447" s="161"/>
      <c r="BD447" s="161"/>
      <c r="BE447" s="161"/>
      <c r="BF447" s="161"/>
      <c r="BG447" s="161"/>
      <c r="BH447" s="161"/>
      <c r="BI447" s="161"/>
      <c r="BJ447" s="161"/>
      <c r="BK447" s="161"/>
      <c r="BL447" s="161"/>
      <c r="BM447" s="161"/>
      <c r="BN447" s="161"/>
      <c r="BO447" s="161"/>
      <c r="BP447" s="161"/>
      <c r="BQ447" s="161"/>
      <c r="BR447" s="161"/>
      <c r="BS447" s="161"/>
      <c r="BT447" s="161"/>
      <c r="BU447" s="161"/>
    </row>
    <row r="448" spans="15:73" x14ac:dyDescent="0.2"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  <c r="AH448" s="161"/>
      <c r="AI448" s="161"/>
      <c r="AJ448" s="161"/>
      <c r="AK448" s="161"/>
      <c r="AL448" s="161"/>
      <c r="AM448" s="161"/>
      <c r="AN448" s="161"/>
      <c r="AO448" s="161"/>
      <c r="AP448" s="161"/>
      <c r="AQ448" s="161"/>
      <c r="AR448" s="161"/>
      <c r="AS448" s="161"/>
      <c r="AT448" s="161"/>
      <c r="AU448" s="161"/>
      <c r="AV448" s="161"/>
      <c r="AW448" s="161"/>
      <c r="AX448" s="161"/>
      <c r="AY448" s="161"/>
      <c r="AZ448" s="161"/>
      <c r="BA448" s="161"/>
      <c r="BB448" s="161"/>
      <c r="BC448" s="161"/>
      <c r="BD448" s="161"/>
      <c r="BE448" s="161"/>
      <c r="BF448" s="161"/>
      <c r="BG448" s="161"/>
      <c r="BH448" s="161"/>
      <c r="BI448" s="161"/>
      <c r="BJ448" s="161"/>
      <c r="BK448" s="161"/>
      <c r="BL448" s="161"/>
      <c r="BM448" s="161"/>
      <c r="BN448" s="161"/>
      <c r="BO448" s="161"/>
      <c r="BP448" s="161"/>
      <c r="BQ448" s="161"/>
      <c r="BR448" s="161"/>
      <c r="BS448" s="161"/>
      <c r="BT448" s="161"/>
      <c r="BU448" s="161"/>
    </row>
    <row r="449" spans="15:73" x14ac:dyDescent="0.2"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  <c r="AH449" s="161"/>
      <c r="AI449" s="161"/>
      <c r="AJ449" s="161"/>
      <c r="AK449" s="161"/>
      <c r="AL449" s="161"/>
      <c r="AM449" s="161"/>
      <c r="AN449" s="161"/>
      <c r="AO449" s="161"/>
      <c r="AP449" s="161"/>
      <c r="AQ449" s="161"/>
      <c r="AR449" s="161"/>
      <c r="AS449" s="161"/>
      <c r="AT449" s="161"/>
      <c r="AU449" s="161"/>
      <c r="AV449" s="161"/>
      <c r="AW449" s="161"/>
      <c r="AX449" s="161"/>
      <c r="AY449" s="161"/>
      <c r="AZ449" s="161"/>
      <c r="BA449" s="161"/>
      <c r="BB449" s="161"/>
      <c r="BC449" s="161"/>
      <c r="BD449" s="161"/>
      <c r="BE449" s="161"/>
      <c r="BF449" s="161"/>
      <c r="BG449" s="161"/>
      <c r="BH449" s="161"/>
      <c r="BI449" s="161"/>
      <c r="BJ449" s="161"/>
      <c r="BK449" s="161"/>
      <c r="BL449" s="161"/>
      <c r="BM449" s="161"/>
      <c r="BN449" s="161"/>
      <c r="BO449" s="161"/>
      <c r="BP449" s="161"/>
      <c r="BQ449" s="161"/>
      <c r="BR449" s="161"/>
      <c r="BS449" s="161"/>
      <c r="BT449" s="161"/>
      <c r="BU449" s="161"/>
    </row>
    <row r="450" spans="15:73" x14ac:dyDescent="0.2"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  <c r="AH450" s="161"/>
      <c r="AI450" s="161"/>
      <c r="AJ450" s="161"/>
      <c r="AK450" s="161"/>
      <c r="AL450" s="161"/>
      <c r="AM450" s="161"/>
      <c r="AN450" s="161"/>
      <c r="AO450" s="161"/>
      <c r="AP450" s="161"/>
      <c r="AQ450" s="161"/>
      <c r="AR450" s="161"/>
      <c r="AS450" s="161"/>
      <c r="AT450" s="161"/>
      <c r="AU450" s="161"/>
      <c r="AV450" s="161"/>
      <c r="AW450" s="161"/>
      <c r="AX450" s="161"/>
      <c r="AY450" s="161"/>
      <c r="AZ450" s="161"/>
      <c r="BA450" s="161"/>
      <c r="BB450" s="161"/>
      <c r="BC450" s="161"/>
      <c r="BD450" s="161"/>
      <c r="BE450" s="161"/>
      <c r="BF450" s="161"/>
      <c r="BG450" s="161"/>
      <c r="BH450" s="161"/>
      <c r="BI450" s="161"/>
      <c r="BJ450" s="161"/>
      <c r="BK450" s="161"/>
      <c r="BL450" s="161"/>
      <c r="BM450" s="161"/>
      <c r="BN450" s="161"/>
      <c r="BO450" s="161"/>
      <c r="BP450" s="161"/>
      <c r="BQ450" s="161"/>
      <c r="BR450" s="161"/>
      <c r="BS450" s="161"/>
      <c r="BT450" s="161"/>
      <c r="BU450" s="161"/>
    </row>
    <row r="451" spans="15:73" x14ac:dyDescent="0.2"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  <c r="AH451" s="161"/>
      <c r="AI451" s="161"/>
      <c r="AJ451" s="161"/>
      <c r="AK451" s="161"/>
      <c r="AL451" s="161"/>
      <c r="AM451" s="161"/>
      <c r="AN451" s="161"/>
      <c r="AO451" s="161"/>
      <c r="AP451" s="161"/>
      <c r="AQ451" s="161"/>
      <c r="AR451" s="161"/>
      <c r="AS451" s="161"/>
      <c r="AT451" s="161"/>
      <c r="AU451" s="161"/>
      <c r="AV451" s="161"/>
      <c r="AW451" s="161"/>
      <c r="AX451" s="161"/>
      <c r="AY451" s="161"/>
      <c r="AZ451" s="161"/>
      <c r="BA451" s="161"/>
      <c r="BB451" s="161"/>
      <c r="BC451" s="161"/>
      <c r="BD451" s="161"/>
      <c r="BE451" s="161"/>
      <c r="BF451" s="161"/>
      <c r="BG451" s="161"/>
      <c r="BH451" s="161"/>
      <c r="BI451" s="161"/>
      <c r="BJ451" s="161"/>
      <c r="BK451" s="161"/>
      <c r="BL451" s="161"/>
      <c r="BM451" s="161"/>
      <c r="BN451" s="161"/>
      <c r="BO451" s="161"/>
      <c r="BP451" s="161"/>
      <c r="BQ451" s="161"/>
      <c r="BR451" s="161"/>
      <c r="BS451" s="161"/>
      <c r="BT451" s="161"/>
      <c r="BU451" s="161"/>
    </row>
    <row r="452" spans="15:73" x14ac:dyDescent="0.2"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61"/>
      <c r="AN452" s="161"/>
      <c r="AO452" s="161"/>
      <c r="AP452" s="161"/>
      <c r="AQ452" s="161"/>
      <c r="AR452" s="161"/>
      <c r="AS452" s="161"/>
      <c r="AT452" s="161"/>
      <c r="AU452" s="161"/>
      <c r="AV452" s="161"/>
      <c r="AW452" s="161"/>
      <c r="AX452" s="161"/>
      <c r="AY452" s="161"/>
      <c r="AZ452" s="161"/>
      <c r="BA452" s="161"/>
      <c r="BB452" s="161"/>
      <c r="BC452" s="161"/>
      <c r="BD452" s="161"/>
      <c r="BE452" s="161"/>
      <c r="BF452" s="161"/>
      <c r="BG452" s="161"/>
      <c r="BH452" s="161"/>
      <c r="BI452" s="161"/>
      <c r="BJ452" s="161"/>
      <c r="BK452" s="161"/>
      <c r="BL452" s="161"/>
      <c r="BM452" s="161"/>
      <c r="BN452" s="161"/>
      <c r="BO452" s="161"/>
      <c r="BP452" s="161"/>
      <c r="BQ452" s="161"/>
      <c r="BR452" s="161"/>
      <c r="BS452" s="161"/>
      <c r="BT452" s="161"/>
      <c r="BU452" s="161"/>
    </row>
    <row r="453" spans="15:73" x14ac:dyDescent="0.2"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  <c r="AH453" s="161"/>
      <c r="AI453" s="161"/>
      <c r="AJ453" s="161"/>
      <c r="AK453" s="161"/>
      <c r="AL453" s="161"/>
      <c r="AM453" s="161"/>
      <c r="AN453" s="161"/>
      <c r="AO453" s="161"/>
      <c r="AP453" s="161"/>
      <c r="AQ453" s="161"/>
      <c r="AR453" s="161"/>
      <c r="AS453" s="161"/>
      <c r="AT453" s="161"/>
      <c r="AU453" s="161"/>
      <c r="AV453" s="161"/>
      <c r="AW453" s="161"/>
      <c r="AX453" s="161"/>
      <c r="AY453" s="161"/>
      <c r="AZ453" s="161"/>
      <c r="BA453" s="161"/>
      <c r="BB453" s="161"/>
      <c r="BC453" s="161"/>
      <c r="BD453" s="161"/>
      <c r="BE453" s="161"/>
      <c r="BF453" s="161"/>
      <c r="BG453" s="161"/>
      <c r="BH453" s="161"/>
      <c r="BI453" s="161"/>
      <c r="BJ453" s="161"/>
      <c r="BK453" s="161"/>
      <c r="BL453" s="161"/>
      <c r="BM453" s="161"/>
      <c r="BN453" s="161"/>
      <c r="BO453" s="161"/>
      <c r="BP453" s="161"/>
      <c r="BQ453" s="161"/>
      <c r="BR453" s="161"/>
      <c r="BS453" s="161"/>
      <c r="BT453" s="161"/>
      <c r="BU453" s="161"/>
    </row>
    <row r="454" spans="15:73" x14ac:dyDescent="0.2"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  <c r="AH454" s="161"/>
      <c r="AI454" s="161"/>
      <c r="AJ454" s="161"/>
      <c r="AK454" s="161"/>
      <c r="AL454" s="161"/>
      <c r="AM454" s="161"/>
      <c r="AN454" s="161"/>
      <c r="AO454" s="161"/>
      <c r="AP454" s="161"/>
      <c r="AQ454" s="161"/>
      <c r="AR454" s="161"/>
      <c r="AS454" s="161"/>
      <c r="AT454" s="161"/>
      <c r="AU454" s="161"/>
      <c r="AV454" s="161"/>
      <c r="AW454" s="161"/>
      <c r="AX454" s="161"/>
      <c r="AY454" s="161"/>
      <c r="AZ454" s="161"/>
      <c r="BA454" s="161"/>
      <c r="BB454" s="161"/>
      <c r="BC454" s="161"/>
      <c r="BD454" s="161"/>
      <c r="BE454" s="161"/>
      <c r="BF454" s="161"/>
      <c r="BG454" s="161"/>
      <c r="BH454" s="161"/>
      <c r="BI454" s="161"/>
      <c r="BJ454" s="161"/>
      <c r="BK454" s="161"/>
      <c r="BL454" s="161"/>
      <c r="BM454" s="161"/>
      <c r="BN454" s="161"/>
      <c r="BO454" s="161"/>
      <c r="BP454" s="161"/>
      <c r="BQ454" s="161"/>
      <c r="BR454" s="161"/>
      <c r="BS454" s="161"/>
      <c r="BT454" s="161"/>
      <c r="BU454" s="161"/>
    </row>
    <row r="455" spans="15:73" x14ac:dyDescent="0.2"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  <c r="AH455" s="161"/>
      <c r="AI455" s="161"/>
      <c r="AJ455" s="161"/>
      <c r="AK455" s="161"/>
      <c r="AL455" s="161"/>
      <c r="AM455" s="161"/>
      <c r="AN455" s="161"/>
      <c r="AO455" s="161"/>
      <c r="AP455" s="161"/>
      <c r="AQ455" s="161"/>
      <c r="AR455" s="161"/>
      <c r="AS455" s="161"/>
      <c r="AT455" s="161"/>
      <c r="AU455" s="161"/>
      <c r="AV455" s="161"/>
      <c r="AW455" s="161"/>
      <c r="AX455" s="161"/>
      <c r="AY455" s="161"/>
      <c r="AZ455" s="161"/>
      <c r="BA455" s="161"/>
      <c r="BB455" s="161"/>
      <c r="BC455" s="161"/>
      <c r="BD455" s="161"/>
      <c r="BE455" s="161"/>
      <c r="BF455" s="161"/>
      <c r="BG455" s="161"/>
      <c r="BH455" s="161"/>
      <c r="BI455" s="161"/>
      <c r="BJ455" s="161"/>
      <c r="BK455" s="161"/>
      <c r="BL455" s="161"/>
      <c r="BM455" s="161"/>
      <c r="BN455" s="161"/>
      <c r="BO455" s="161"/>
      <c r="BP455" s="161"/>
      <c r="BQ455" s="161"/>
      <c r="BR455" s="161"/>
      <c r="BS455" s="161"/>
      <c r="BT455" s="161"/>
      <c r="BU455" s="161"/>
    </row>
    <row r="456" spans="15:73" x14ac:dyDescent="0.2"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61"/>
      <c r="AN456" s="161"/>
      <c r="AO456" s="161"/>
      <c r="AP456" s="161"/>
      <c r="AQ456" s="161"/>
      <c r="AR456" s="161"/>
      <c r="AS456" s="161"/>
      <c r="AT456" s="161"/>
      <c r="AU456" s="161"/>
      <c r="AV456" s="161"/>
      <c r="AW456" s="161"/>
      <c r="AX456" s="161"/>
      <c r="AY456" s="161"/>
      <c r="AZ456" s="161"/>
      <c r="BA456" s="161"/>
      <c r="BB456" s="161"/>
      <c r="BC456" s="161"/>
      <c r="BD456" s="161"/>
      <c r="BE456" s="161"/>
      <c r="BF456" s="161"/>
      <c r="BG456" s="161"/>
      <c r="BH456" s="161"/>
      <c r="BI456" s="161"/>
      <c r="BJ456" s="161"/>
      <c r="BK456" s="161"/>
      <c r="BL456" s="161"/>
      <c r="BM456" s="161"/>
      <c r="BN456" s="161"/>
      <c r="BO456" s="161"/>
      <c r="BP456" s="161"/>
      <c r="BQ456" s="161"/>
      <c r="BR456" s="161"/>
      <c r="BS456" s="161"/>
      <c r="BT456" s="161"/>
      <c r="BU456" s="161"/>
    </row>
    <row r="457" spans="15:73" x14ac:dyDescent="0.2"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61"/>
      <c r="AN457" s="161"/>
      <c r="AO457" s="161"/>
      <c r="AP457" s="161"/>
      <c r="AQ457" s="161"/>
      <c r="AR457" s="161"/>
      <c r="AS457" s="161"/>
      <c r="AT457" s="161"/>
      <c r="AU457" s="161"/>
      <c r="AV457" s="161"/>
      <c r="AW457" s="161"/>
      <c r="AX457" s="161"/>
      <c r="AY457" s="161"/>
      <c r="AZ457" s="161"/>
      <c r="BA457" s="161"/>
      <c r="BB457" s="161"/>
      <c r="BC457" s="161"/>
      <c r="BD457" s="161"/>
      <c r="BE457" s="161"/>
      <c r="BF457" s="161"/>
      <c r="BG457" s="161"/>
      <c r="BH457" s="161"/>
      <c r="BI457" s="161"/>
      <c r="BJ457" s="161"/>
      <c r="BK457" s="161"/>
      <c r="BL457" s="161"/>
      <c r="BM457" s="161"/>
      <c r="BN457" s="161"/>
      <c r="BO457" s="161"/>
      <c r="BP457" s="161"/>
      <c r="BQ457" s="161"/>
      <c r="BR457" s="161"/>
      <c r="BS457" s="161"/>
      <c r="BT457" s="161"/>
      <c r="BU457" s="161"/>
    </row>
    <row r="458" spans="15:73" x14ac:dyDescent="0.2"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  <c r="AH458" s="161"/>
      <c r="AI458" s="161"/>
      <c r="AJ458" s="161"/>
      <c r="AK458" s="161"/>
      <c r="AL458" s="161"/>
      <c r="AM458" s="161"/>
      <c r="AN458" s="161"/>
      <c r="AO458" s="161"/>
      <c r="AP458" s="161"/>
      <c r="AQ458" s="161"/>
      <c r="AR458" s="161"/>
      <c r="AS458" s="161"/>
      <c r="AT458" s="161"/>
      <c r="AU458" s="161"/>
      <c r="AV458" s="161"/>
      <c r="AW458" s="161"/>
      <c r="AX458" s="161"/>
      <c r="AY458" s="161"/>
      <c r="AZ458" s="161"/>
      <c r="BA458" s="161"/>
      <c r="BB458" s="161"/>
      <c r="BC458" s="161"/>
      <c r="BD458" s="161"/>
      <c r="BE458" s="161"/>
      <c r="BF458" s="161"/>
      <c r="BG458" s="161"/>
      <c r="BH458" s="161"/>
      <c r="BI458" s="161"/>
      <c r="BJ458" s="161"/>
      <c r="BK458" s="161"/>
      <c r="BL458" s="161"/>
      <c r="BM458" s="161"/>
      <c r="BN458" s="161"/>
      <c r="BO458" s="161"/>
      <c r="BP458" s="161"/>
      <c r="BQ458" s="161"/>
      <c r="BR458" s="161"/>
      <c r="BS458" s="161"/>
      <c r="BT458" s="161"/>
      <c r="BU458" s="161"/>
    </row>
    <row r="459" spans="15:73" x14ac:dyDescent="0.2"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  <c r="AH459" s="161"/>
      <c r="AI459" s="161"/>
      <c r="AJ459" s="161"/>
      <c r="AK459" s="161"/>
      <c r="AL459" s="161"/>
      <c r="AM459" s="161"/>
      <c r="AN459" s="161"/>
      <c r="AO459" s="161"/>
      <c r="AP459" s="161"/>
      <c r="AQ459" s="161"/>
      <c r="AR459" s="161"/>
      <c r="AS459" s="161"/>
      <c r="AT459" s="161"/>
      <c r="AU459" s="161"/>
      <c r="AV459" s="161"/>
      <c r="AW459" s="161"/>
      <c r="AX459" s="161"/>
      <c r="AY459" s="161"/>
      <c r="AZ459" s="161"/>
      <c r="BA459" s="161"/>
      <c r="BB459" s="161"/>
      <c r="BC459" s="161"/>
      <c r="BD459" s="161"/>
      <c r="BE459" s="161"/>
      <c r="BF459" s="161"/>
      <c r="BG459" s="161"/>
      <c r="BH459" s="161"/>
      <c r="BI459" s="161"/>
      <c r="BJ459" s="161"/>
      <c r="BK459" s="161"/>
      <c r="BL459" s="161"/>
      <c r="BM459" s="161"/>
      <c r="BN459" s="161"/>
      <c r="BO459" s="161"/>
      <c r="BP459" s="161"/>
      <c r="BQ459" s="161"/>
      <c r="BR459" s="161"/>
      <c r="BS459" s="161"/>
      <c r="BT459" s="161"/>
      <c r="BU459" s="161"/>
    </row>
    <row r="460" spans="15:73" x14ac:dyDescent="0.2"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  <c r="AH460" s="161"/>
      <c r="AI460" s="161"/>
      <c r="AJ460" s="161"/>
      <c r="AK460" s="161"/>
      <c r="AL460" s="161"/>
      <c r="AM460" s="161"/>
      <c r="AN460" s="161"/>
      <c r="AO460" s="161"/>
      <c r="AP460" s="161"/>
      <c r="AQ460" s="161"/>
      <c r="AR460" s="161"/>
      <c r="AS460" s="161"/>
      <c r="AT460" s="161"/>
      <c r="AU460" s="161"/>
      <c r="AV460" s="161"/>
      <c r="AW460" s="161"/>
      <c r="AX460" s="161"/>
      <c r="AY460" s="161"/>
      <c r="AZ460" s="161"/>
      <c r="BA460" s="161"/>
      <c r="BB460" s="161"/>
      <c r="BC460" s="161"/>
      <c r="BD460" s="161"/>
      <c r="BE460" s="161"/>
      <c r="BF460" s="161"/>
      <c r="BG460" s="161"/>
      <c r="BH460" s="161"/>
      <c r="BI460" s="161"/>
      <c r="BJ460" s="161"/>
      <c r="BK460" s="161"/>
      <c r="BL460" s="161"/>
      <c r="BM460" s="161"/>
      <c r="BN460" s="161"/>
      <c r="BO460" s="161"/>
      <c r="BP460" s="161"/>
      <c r="BQ460" s="161"/>
      <c r="BR460" s="161"/>
      <c r="BS460" s="161"/>
      <c r="BT460" s="161"/>
      <c r="BU460" s="161"/>
    </row>
    <row r="461" spans="15:73" x14ac:dyDescent="0.2"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  <c r="AH461" s="161"/>
      <c r="AI461" s="161"/>
      <c r="AJ461" s="161"/>
      <c r="AK461" s="161"/>
      <c r="AL461" s="161"/>
      <c r="AM461" s="161"/>
      <c r="AN461" s="161"/>
      <c r="AO461" s="161"/>
      <c r="AP461" s="161"/>
      <c r="AQ461" s="161"/>
      <c r="AR461" s="161"/>
      <c r="AS461" s="161"/>
      <c r="AT461" s="161"/>
      <c r="AU461" s="161"/>
      <c r="AV461" s="161"/>
      <c r="AW461" s="161"/>
      <c r="AX461" s="161"/>
      <c r="AY461" s="161"/>
      <c r="AZ461" s="161"/>
      <c r="BA461" s="161"/>
      <c r="BB461" s="161"/>
      <c r="BC461" s="161"/>
      <c r="BD461" s="161"/>
      <c r="BE461" s="161"/>
      <c r="BF461" s="161"/>
      <c r="BG461" s="161"/>
      <c r="BH461" s="161"/>
      <c r="BI461" s="161"/>
      <c r="BJ461" s="161"/>
      <c r="BK461" s="161"/>
      <c r="BL461" s="161"/>
      <c r="BM461" s="161"/>
      <c r="BN461" s="161"/>
      <c r="BO461" s="161"/>
      <c r="BP461" s="161"/>
      <c r="BQ461" s="161"/>
      <c r="BR461" s="161"/>
      <c r="BS461" s="161"/>
      <c r="BT461" s="161"/>
      <c r="BU461" s="161"/>
    </row>
    <row r="462" spans="15:73" x14ac:dyDescent="0.2"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  <c r="AH462" s="161"/>
      <c r="AI462" s="161"/>
      <c r="AJ462" s="161"/>
      <c r="AK462" s="161"/>
      <c r="AL462" s="161"/>
      <c r="AM462" s="161"/>
      <c r="AN462" s="161"/>
      <c r="AO462" s="161"/>
      <c r="AP462" s="161"/>
      <c r="AQ462" s="161"/>
      <c r="AR462" s="161"/>
      <c r="AS462" s="161"/>
      <c r="AT462" s="161"/>
      <c r="AU462" s="161"/>
      <c r="AV462" s="161"/>
      <c r="AW462" s="161"/>
      <c r="AX462" s="161"/>
      <c r="AY462" s="161"/>
      <c r="AZ462" s="161"/>
      <c r="BA462" s="161"/>
      <c r="BB462" s="161"/>
      <c r="BC462" s="161"/>
      <c r="BD462" s="161"/>
      <c r="BE462" s="161"/>
      <c r="BF462" s="161"/>
      <c r="BG462" s="161"/>
      <c r="BH462" s="161"/>
      <c r="BI462" s="161"/>
      <c r="BJ462" s="161"/>
      <c r="BK462" s="161"/>
      <c r="BL462" s="161"/>
      <c r="BM462" s="161"/>
      <c r="BN462" s="161"/>
      <c r="BO462" s="161"/>
      <c r="BP462" s="161"/>
      <c r="BQ462" s="161"/>
      <c r="BR462" s="161"/>
      <c r="BS462" s="161"/>
      <c r="BT462" s="161"/>
      <c r="BU462" s="161"/>
    </row>
    <row r="463" spans="15:73" x14ac:dyDescent="0.2"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61"/>
      <c r="AN463" s="161"/>
      <c r="AO463" s="161"/>
      <c r="AP463" s="161"/>
      <c r="AQ463" s="161"/>
      <c r="AR463" s="161"/>
      <c r="AS463" s="161"/>
      <c r="AT463" s="161"/>
      <c r="AU463" s="161"/>
      <c r="AV463" s="161"/>
      <c r="AW463" s="161"/>
      <c r="AX463" s="161"/>
      <c r="AY463" s="161"/>
      <c r="AZ463" s="161"/>
      <c r="BA463" s="161"/>
      <c r="BB463" s="161"/>
      <c r="BC463" s="161"/>
      <c r="BD463" s="161"/>
      <c r="BE463" s="161"/>
      <c r="BF463" s="161"/>
      <c r="BG463" s="161"/>
      <c r="BH463" s="161"/>
      <c r="BI463" s="161"/>
      <c r="BJ463" s="161"/>
      <c r="BK463" s="161"/>
      <c r="BL463" s="161"/>
      <c r="BM463" s="161"/>
      <c r="BN463" s="161"/>
      <c r="BO463" s="161"/>
      <c r="BP463" s="161"/>
      <c r="BQ463" s="161"/>
      <c r="BR463" s="161"/>
      <c r="BS463" s="161"/>
      <c r="BT463" s="161"/>
      <c r="BU463" s="161"/>
    </row>
    <row r="464" spans="15:73" x14ac:dyDescent="0.2"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  <c r="AH464" s="161"/>
      <c r="AI464" s="161"/>
      <c r="AJ464" s="161"/>
      <c r="AK464" s="161"/>
      <c r="AL464" s="161"/>
      <c r="AM464" s="161"/>
      <c r="AN464" s="161"/>
      <c r="AO464" s="161"/>
      <c r="AP464" s="161"/>
      <c r="AQ464" s="161"/>
      <c r="AR464" s="161"/>
      <c r="AS464" s="161"/>
      <c r="AT464" s="161"/>
      <c r="AU464" s="161"/>
      <c r="AV464" s="161"/>
      <c r="AW464" s="161"/>
      <c r="AX464" s="161"/>
      <c r="AY464" s="161"/>
      <c r="AZ464" s="161"/>
      <c r="BA464" s="161"/>
      <c r="BB464" s="161"/>
      <c r="BC464" s="161"/>
      <c r="BD464" s="161"/>
      <c r="BE464" s="161"/>
      <c r="BF464" s="161"/>
      <c r="BG464" s="161"/>
      <c r="BH464" s="161"/>
      <c r="BI464" s="161"/>
      <c r="BJ464" s="161"/>
      <c r="BK464" s="161"/>
      <c r="BL464" s="161"/>
      <c r="BM464" s="161"/>
      <c r="BN464" s="161"/>
      <c r="BO464" s="161"/>
      <c r="BP464" s="161"/>
      <c r="BQ464" s="161"/>
      <c r="BR464" s="161"/>
      <c r="BS464" s="161"/>
      <c r="BT464" s="161"/>
      <c r="BU464" s="161"/>
    </row>
    <row r="465" spans="15:73" x14ac:dyDescent="0.2"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  <c r="AH465" s="161"/>
      <c r="AI465" s="161"/>
      <c r="AJ465" s="161"/>
      <c r="AK465" s="161"/>
      <c r="AL465" s="161"/>
      <c r="AM465" s="161"/>
      <c r="AN465" s="161"/>
      <c r="AO465" s="161"/>
      <c r="AP465" s="161"/>
      <c r="AQ465" s="161"/>
      <c r="AR465" s="161"/>
      <c r="AS465" s="161"/>
      <c r="AT465" s="161"/>
      <c r="AU465" s="161"/>
      <c r="AV465" s="161"/>
      <c r="AW465" s="161"/>
      <c r="AX465" s="161"/>
      <c r="AY465" s="161"/>
      <c r="AZ465" s="161"/>
      <c r="BA465" s="161"/>
      <c r="BB465" s="161"/>
      <c r="BC465" s="161"/>
      <c r="BD465" s="161"/>
      <c r="BE465" s="161"/>
      <c r="BF465" s="161"/>
      <c r="BG465" s="161"/>
      <c r="BH465" s="161"/>
      <c r="BI465" s="161"/>
      <c r="BJ465" s="161"/>
      <c r="BK465" s="161"/>
      <c r="BL465" s="161"/>
      <c r="BM465" s="161"/>
      <c r="BN465" s="161"/>
      <c r="BO465" s="161"/>
      <c r="BP465" s="161"/>
      <c r="BQ465" s="161"/>
      <c r="BR465" s="161"/>
      <c r="BS465" s="161"/>
      <c r="BT465" s="161"/>
      <c r="BU465" s="161"/>
    </row>
    <row r="466" spans="15:73" x14ac:dyDescent="0.2"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  <c r="AH466" s="161"/>
      <c r="AI466" s="161"/>
      <c r="AJ466" s="161"/>
      <c r="AK466" s="161"/>
      <c r="AL466" s="161"/>
      <c r="AM466" s="161"/>
      <c r="AN466" s="161"/>
      <c r="AO466" s="161"/>
      <c r="AP466" s="161"/>
      <c r="AQ466" s="161"/>
      <c r="AR466" s="161"/>
      <c r="AS466" s="161"/>
      <c r="AT466" s="161"/>
      <c r="AU466" s="161"/>
      <c r="AV466" s="161"/>
      <c r="AW466" s="161"/>
      <c r="AX466" s="161"/>
      <c r="AY466" s="161"/>
      <c r="AZ466" s="161"/>
      <c r="BA466" s="161"/>
      <c r="BB466" s="161"/>
      <c r="BC466" s="161"/>
      <c r="BD466" s="161"/>
      <c r="BE466" s="161"/>
      <c r="BF466" s="161"/>
      <c r="BG466" s="161"/>
      <c r="BH466" s="161"/>
      <c r="BI466" s="161"/>
      <c r="BJ466" s="161"/>
      <c r="BK466" s="161"/>
      <c r="BL466" s="161"/>
      <c r="BM466" s="161"/>
      <c r="BN466" s="161"/>
      <c r="BO466" s="161"/>
      <c r="BP466" s="161"/>
      <c r="BQ466" s="161"/>
      <c r="BR466" s="161"/>
      <c r="BS466" s="161"/>
      <c r="BT466" s="161"/>
      <c r="BU466" s="161"/>
    </row>
    <row r="467" spans="15:73" x14ac:dyDescent="0.2"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  <c r="AH467" s="161"/>
      <c r="AI467" s="161"/>
      <c r="AJ467" s="161"/>
      <c r="AK467" s="161"/>
      <c r="AL467" s="161"/>
      <c r="AM467" s="161"/>
      <c r="AN467" s="161"/>
      <c r="AO467" s="161"/>
      <c r="AP467" s="161"/>
      <c r="AQ467" s="161"/>
      <c r="AR467" s="161"/>
      <c r="AS467" s="161"/>
      <c r="AT467" s="161"/>
      <c r="AU467" s="161"/>
      <c r="AV467" s="161"/>
      <c r="AW467" s="161"/>
      <c r="AX467" s="161"/>
      <c r="AY467" s="161"/>
      <c r="AZ467" s="161"/>
      <c r="BA467" s="161"/>
      <c r="BB467" s="161"/>
      <c r="BC467" s="161"/>
      <c r="BD467" s="161"/>
      <c r="BE467" s="161"/>
      <c r="BF467" s="161"/>
      <c r="BG467" s="161"/>
      <c r="BH467" s="161"/>
      <c r="BI467" s="161"/>
      <c r="BJ467" s="161"/>
      <c r="BK467" s="161"/>
      <c r="BL467" s="161"/>
      <c r="BM467" s="161"/>
      <c r="BN467" s="161"/>
      <c r="BO467" s="161"/>
      <c r="BP467" s="161"/>
      <c r="BQ467" s="161"/>
      <c r="BR467" s="161"/>
      <c r="BS467" s="161"/>
      <c r="BT467" s="161"/>
      <c r="BU467" s="161"/>
    </row>
    <row r="468" spans="15:73" x14ac:dyDescent="0.2"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  <c r="AH468" s="161"/>
      <c r="AI468" s="161"/>
      <c r="AJ468" s="161"/>
      <c r="AK468" s="161"/>
      <c r="AL468" s="161"/>
      <c r="AM468" s="161"/>
      <c r="AN468" s="161"/>
      <c r="AO468" s="161"/>
      <c r="AP468" s="161"/>
      <c r="AQ468" s="161"/>
      <c r="AR468" s="161"/>
      <c r="AS468" s="161"/>
      <c r="AT468" s="161"/>
      <c r="AU468" s="161"/>
      <c r="AV468" s="161"/>
      <c r="AW468" s="161"/>
      <c r="AX468" s="161"/>
      <c r="AY468" s="161"/>
      <c r="AZ468" s="161"/>
      <c r="BA468" s="161"/>
      <c r="BB468" s="161"/>
      <c r="BC468" s="161"/>
      <c r="BD468" s="161"/>
      <c r="BE468" s="161"/>
      <c r="BF468" s="161"/>
      <c r="BG468" s="161"/>
      <c r="BH468" s="161"/>
      <c r="BI468" s="161"/>
      <c r="BJ468" s="161"/>
      <c r="BK468" s="161"/>
      <c r="BL468" s="161"/>
      <c r="BM468" s="161"/>
      <c r="BN468" s="161"/>
      <c r="BO468" s="161"/>
      <c r="BP468" s="161"/>
      <c r="BQ468" s="161"/>
      <c r="BR468" s="161"/>
      <c r="BS468" s="161"/>
      <c r="BT468" s="161"/>
      <c r="BU468" s="161"/>
    </row>
    <row r="469" spans="15:73" x14ac:dyDescent="0.2"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  <c r="AH469" s="161"/>
      <c r="AI469" s="161"/>
      <c r="AJ469" s="161"/>
      <c r="AK469" s="161"/>
      <c r="AL469" s="161"/>
      <c r="AM469" s="161"/>
      <c r="AN469" s="161"/>
      <c r="AO469" s="161"/>
      <c r="AP469" s="161"/>
      <c r="AQ469" s="161"/>
      <c r="AR469" s="161"/>
      <c r="AS469" s="161"/>
      <c r="AT469" s="161"/>
      <c r="AU469" s="161"/>
      <c r="AV469" s="161"/>
      <c r="AW469" s="161"/>
      <c r="AX469" s="161"/>
      <c r="AY469" s="161"/>
      <c r="AZ469" s="161"/>
      <c r="BA469" s="161"/>
      <c r="BB469" s="161"/>
      <c r="BC469" s="161"/>
      <c r="BD469" s="161"/>
      <c r="BE469" s="161"/>
      <c r="BF469" s="161"/>
      <c r="BG469" s="161"/>
      <c r="BH469" s="161"/>
      <c r="BI469" s="161"/>
      <c r="BJ469" s="161"/>
      <c r="BK469" s="161"/>
      <c r="BL469" s="161"/>
      <c r="BM469" s="161"/>
      <c r="BN469" s="161"/>
      <c r="BO469" s="161"/>
      <c r="BP469" s="161"/>
      <c r="BQ469" s="161"/>
      <c r="BR469" s="161"/>
      <c r="BS469" s="161"/>
      <c r="BT469" s="161"/>
      <c r="BU469" s="161"/>
    </row>
    <row r="470" spans="15:73" x14ac:dyDescent="0.2"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  <c r="AH470" s="161"/>
      <c r="AI470" s="161"/>
      <c r="AJ470" s="161"/>
      <c r="AK470" s="161"/>
      <c r="AL470" s="161"/>
      <c r="AM470" s="161"/>
      <c r="AN470" s="161"/>
      <c r="AO470" s="161"/>
      <c r="AP470" s="161"/>
      <c r="AQ470" s="161"/>
      <c r="AR470" s="161"/>
      <c r="AS470" s="161"/>
      <c r="AT470" s="161"/>
      <c r="AU470" s="161"/>
      <c r="AV470" s="161"/>
      <c r="AW470" s="161"/>
      <c r="AX470" s="161"/>
      <c r="AY470" s="161"/>
      <c r="AZ470" s="161"/>
      <c r="BA470" s="161"/>
      <c r="BB470" s="161"/>
      <c r="BC470" s="161"/>
      <c r="BD470" s="161"/>
      <c r="BE470" s="161"/>
      <c r="BF470" s="161"/>
      <c r="BG470" s="161"/>
      <c r="BH470" s="161"/>
      <c r="BI470" s="161"/>
      <c r="BJ470" s="161"/>
      <c r="BK470" s="161"/>
      <c r="BL470" s="161"/>
      <c r="BM470" s="161"/>
      <c r="BN470" s="161"/>
      <c r="BO470" s="161"/>
      <c r="BP470" s="161"/>
      <c r="BQ470" s="161"/>
      <c r="BR470" s="161"/>
      <c r="BS470" s="161"/>
      <c r="BT470" s="161"/>
      <c r="BU470" s="161"/>
    </row>
    <row r="471" spans="15:73" x14ac:dyDescent="0.2"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  <c r="AH471" s="161"/>
      <c r="AI471" s="161"/>
      <c r="AJ471" s="161"/>
      <c r="AK471" s="161"/>
      <c r="AL471" s="161"/>
      <c r="AM471" s="161"/>
      <c r="AN471" s="161"/>
      <c r="AO471" s="161"/>
      <c r="AP471" s="161"/>
      <c r="AQ471" s="161"/>
      <c r="AR471" s="161"/>
      <c r="AS471" s="161"/>
      <c r="AT471" s="161"/>
      <c r="AU471" s="161"/>
      <c r="AV471" s="161"/>
      <c r="AW471" s="161"/>
      <c r="AX471" s="161"/>
      <c r="AY471" s="161"/>
      <c r="AZ471" s="161"/>
      <c r="BA471" s="161"/>
      <c r="BB471" s="161"/>
      <c r="BC471" s="161"/>
      <c r="BD471" s="161"/>
      <c r="BE471" s="161"/>
      <c r="BF471" s="161"/>
      <c r="BG471" s="161"/>
      <c r="BH471" s="161"/>
      <c r="BI471" s="161"/>
      <c r="BJ471" s="161"/>
      <c r="BK471" s="161"/>
      <c r="BL471" s="161"/>
      <c r="BM471" s="161"/>
      <c r="BN471" s="161"/>
      <c r="BO471" s="161"/>
      <c r="BP471" s="161"/>
      <c r="BQ471" s="161"/>
      <c r="BR471" s="161"/>
      <c r="BS471" s="161"/>
      <c r="BT471" s="161"/>
      <c r="BU471" s="161"/>
    </row>
    <row r="472" spans="15:73" x14ac:dyDescent="0.2"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  <c r="AH472" s="161"/>
      <c r="AI472" s="161"/>
      <c r="AJ472" s="161"/>
      <c r="AK472" s="161"/>
      <c r="AL472" s="161"/>
      <c r="AM472" s="161"/>
      <c r="AN472" s="161"/>
      <c r="AO472" s="161"/>
      <c r="AP472" s="161"/>
      <c r="AQ472" s="161"/>
      <c r="AR472" s="161"/>
      <c r="AS472" s="161"/>
      <c r="AT472" s="161"/>
      <c r="AU472" s="161"/>
      <c r="AV472" s="161"/>
      <c r="AW472" s="161"/>
      <c r="AX472" s="161"/>
      <c r="AY472" s="161"/>
      <c r="AZ472" s="161"/>
      <c r="BA472" s="161"/>
      <c r="BB472" s="161"/>
      <c r="BC472" s="161"/>
      <c r="BD472" s="161"/>
      <c r="BE472" s="161"/>
      <c r="BF472" s="161"/>
      <c r="BG472" s="161"/>
      <c r="BH472" s="161"/>
      <c r="BI472" s="161"/>
      <c r="BJ472" s="161"/>
      <c r="BK472" s="161"/>
      <c r="BL472" s="161"/>
      <c r="BM472" s="161"/>
      <c r="BN472" s="161"/>
      <c r="BO472" s="161"/>
      <c r="BP472" s="161"/>
      <c r="BQ472" s="161"/>
      <c r="BR472" s="161"/>
      <c r="BS472" s="161"/>
      <c r="BT472" s="161"/>
      <c r="BU472" s="161"/>
    </row>
    <row r="473" spans="15:73" x14ac:dyDescent="0.2"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61"/>
      <c r="AN473" s="161"/>
      <c r="AO473" s="161"/>
      <c r="AP473" s="161"/>
      <c r="AQ473" s="161"/>
      <c r="AR473" s="161"/>
      <c r="AS473" s="161"/>
      <c r="AT473" s="161"/>
      <c r="AU473" s="161"/>
      <c r="AV473" s="161"/>
      <c r="AW473" s="161"/>
      <c r="AX473" s="161"/>
      <c r="AY473" s="161"/>
      <c r="AZ473" s="161"/>
      <c r="BA473" s="161"/>
      <c r="BB473" s="161"/>
      <c r="BC473" s="161"/>
      <c r="BD473" s="161"/>
      <c r="BE473" s="161"/>
      <c r="BF473" s="161"/>
      <c r="BG473" s="161"/>
      <c r="BH473" s="161"/>
      <c r="BI473" s="161"/>
      <c r="BJ473" s="161"/>
      <c r="BK473" s="161"/>
      <c r="BL473" s="161"/>
      <c r="BM473" s="161"/>
      <c r="BN473" s="161"/>
      <c r="BO473" s="161"/>
      <c r="BP473" s="161"/>
      <c r="BQ473" s="161"/>
      <c r="BR473" s="161"/>
      <c r="BS473" s="161"/>
      <c r="BT473" s="161"/>
      <c r="BU473" s="161"/>
    </row>
    <row r="474" spans="15:73" x14ac:dyDescent="0.2"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  <c r="AH474" s="161"/>
      <c r="AI474" s="161"/>
      <c r="AJ474" s="161"/>
      <c r="AK474" s="161"/>
      <c r="AL474" s="161"/>
      <c r="AM474" s="161"/>
      <c r="AN474" s="161"/>
      <c r="AO474" s="161"/>
      <c r="AP474" s="161"/>
      <c r="AQ474" s="161"/>
      <c r="AR474" s="161"/>
      <c r="AS474" s="161"/>
      <c r="AT474" s="161"/>
      <c r="AU474" s="161"/>
      <c r="AV474" s="161"/>
      <c r="AW474" s="161"/>
      <c r="AX474" s="161"/>
      <c r="AY474" s="161"/>
      <c r="AZ474" s="161"/>
      <c r="BA474" s="161"/>
      <c r="BB474" s="161"/>
      <c r="BC474" s="161"/>
      <c r="BD474" s="161"/>
      <c r="BE474" s="161"/>
      <c r="BF474" s="161"/>
      <c r="BG474" s="161"/>
      <c r="BH474" s="161"/>
      <c r="BI474" s="161"/>
      <c r="BJ474" s="161"/>
      <c r="BK474" s="161"/>
      <c r="BL474" s="161"/>
      <c r="BM474" s="161"/>
      <c r="BN474" s="161"/>
      <c r="BO474" s="161"/>
      <c r="BP474" s="161"/>
      <c r="BQ474" s="161"/>
      <c r="BR474" s="161"/>
      <c r="BS474" s="161"/>
      <c r="BT474" s="161"/>
      <c r="BU474" s="161"/>
    </row>
    <row r="475" spans="15:73" x14ac:dyDescent="0.2"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  <c r="AH475" s="161"/>
      <c r="AI475" s="161"/>
      <c r="AJ475" s="161"/>
      <c r="AK475" s="161"/>
      <c r="AL475" s="161"/>
      <c r="AM475" s="161"/>
      <c r="AN475" s="161"/>
      <c r="AO475" s="161"/>
      <c r="AP475" s="161"/>
      <c r="AQ475" s="161"/>
      <c r="AR475" s="161"/>
      <c r="AS475" s="161"/>
      <c r="AT475" s="161"/>
      <c r="AU475" s="161"/>
      <c r="AV475" s="161"/>
      <c r="AW475" s="161"/>
      <c r="AX475" s="161"/>
      <c r="AY475" s="161"/>
      <c r="AZ475" s="161"/>
      <c r="BA475" s="161"/>
      <c r="BB475" s="161"/>
      <c r="BC475" s="161"/>
      <c r="BD475" s="161"/>
      <c r="BE475" s="161"/>
      <c r="BF475" s="161"/>
      <c r="BG475" s="161"/>
      <c r="BH475" s="161"/>
      <c r="BI475" s="161"/>
      <c r="BJ475" s="161"/>
      <c r="BK475" s="161"/>
      <c r="BL475" s="161"/>
      <c r="BM475" s="161"/>
      <c r="BN475" s="161"/>
      <c r="BO475" s="161"/>
      <c r="BP475" s="161"/>
      <c r="BQ475" s="161"/>
      <c r="BR475" s="161"/>
      <c r="BS475" s="161"/>
      <c r="BT475" s="161"/>
      <c r="BU475" s="161"/>
    </row>
    <row r="476" spans="15:73" x14ac:dyDescent="0.2"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  <c r="AH476" s="161"/>
      <c r="AI476" s="161"/>
      <c r="AJ476" s="161"/>
      <c r="AK476" s="161"/>
      <c r="AL476" s="161"/>
      <c r="AM476" s="161"/>
      <c r="AN476" s="161"/>
      <c r="AO476" s="161"/>
      <c r="AP476" s="161"/>
      <c r="AQ476" s="161"/>
      <c r="AR476" s="161"/>
      <c r="AS476" s="161"/>
      <c r="AT476" s="161"/>
      <c r="AU476" s="161"/>
      <c r="AV476" s="161"/>
      <c r="AW476" s="161"/>
      <c r="AX476" s="161"/>
      <c r="AY476" s="161"/>
      <c r="AZ476" s="161"/>
      <c r="BA476" s="161"/>
      <c r="BB476" s="161"/>
      <c r="BC476" s="161"/>
      <c r="BD476" s="161"/>
      <c r="BE476" s="161"/>
      <c r="BF476" s="161"/>
      <c r="BG476" s="161"/>
      <c r="BH476" s="161"/>
      <c r="BI476" s="161"/>
      <c r="BJ476" s="161"/>
      <c r="BK476" s="161"/>
      <c r="BL476" s="161"/>
      <c r="BM476" s="161"/>
      <c r="BN476" s="161"/>
      <c r="BO476" s="161"/>
      <c r="BP476" s="161"/>
      <c r="BQ476" s="161"/>
      <c r="BR476" s="161"/>
      <c r="BS476" s="161"/>
      <c r="BT476" s="161"/>
      <c r="BU476" s="161"/>
    </row>
    <row r="477" spans="15:73" x14ac:dyDescent="0.2"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  <c r="AH477" s="161"/>
      <c r="AI477" s="161"/>
      <c r="AJ477" s="161"/>
      <c r="AK477" s="161"/>
      <c r="AL477" s="161"/>
      <c r="AM477" s="161"/>
      <c r="AN477" s="161"/>
      <c r="AO477" s="161"/>
      <c r="AP477" s="161"/>
      <c r="AQ477" s="161"/>
      <c r="AR477" s="161"/>
      <c r="AS477" s="161"/>
      <c r="AT477" s="161"/>
      <c r="AU477" s="161"/>
      <c r="AV477" s="161"/>
      <c r="AW477" s="161"/>
      <c r="AX477" s="161"/>
      <c r="AY477" s="161"/>
      <c r="AZ477" s="161"/>
      <c r="BA477" s="161"/>
      <c r="BB477" s="161"/>
      <c r="BC477" s="161"/>
      <c r="BD477" s="161"/>
      <c r="BE477" s="161"/>
      <c r="BF477" s="161"/>
      <c r="BG477" s="161"/>
      <c r="BH477" s="161"/>
      <c r="BI477" s="161"/>
      <c r="BJ477" s="161"/>
      <c r="BK477" s="161"/>
      <c r="BL477" s="161"/>
      <c r="BM477" s="161"/>
      <c r="BN477" s="161"/>
      <c r="BO477" s="161"/>
      <c r="BP477" s="161"/>
      <c r="BQ477" s="161"/>
      <c r="BR477" s="161"/>
      <c r="BS477" s="161"/>
      <c r="BT477" s="161"/>
      <c r="BU477" s="161"/>
    </row>
    <row r="478" spans="15:73" x14ac:dyDescent="0.2"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61"/>
      <c r="AN478" s="161"/>
      <c r="AO478" s="161"/>
      <c r="AP478" s="161"/>
      <c r="AQ478" s="161"/>
      <c r="AR478" s="161"/>
      <c r="AS478" s="161"/>
      <c r="AT478" s="161"/>
      <c r="AU478" s="161"/>
      <c r="AV478" s="161"/>
      <c r="AW478" s="161"/>
      <c r="AX478" s="161"/>
      <c r="AY478" s="161"/>
      <c r="AZ478" s="161"/>
      <c r="BA478" s="161"/>
      <c r="BB478" s="161"/>
      <c r="BC478" s="161"/>
      <c r="BD478" s="161"/>
      <c r="BE478" s="161"/>
      <c r="BF478" s="161"/>
      <c r="BG478" s="161"/>
      <c r="BH478" s="161"/>
      <c r="BI478" s="161"/>
      <c r="BJ478" s="161"/>
      <c r="BK478" s="161"/>
      <c r="BL478" s="161"/>
      <c r="BM478" s="161"/>
      <c r="BN478" s="161"/>
      <c r="BO478" s="161"/>
      <c r="BP478" s="161"/>
      <c r="BQ478" s="161"/>
      <c r="BR478" s="161"/>
      <c r="BS478" s="161"/>
      <c r="BT478" s="161"/>
      <c r="BU478" s="161"/>
    </row>
    <row r="479" spans="15:73" x14ac:dyDescent="0.2"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  <c r="AH479" s="161"/>
      <c r="AI479" s="161"/>
      <c r="AJ479" s="161"/>
      <c r="AK479" s="161"/>
      <c r="AL479" s="161"/>
      <c r="AM479" s="161"/>
      <c r="AN479" s="161"/>
      <c r="AO479" s="161"/>
      <c r="AP479" s="161"/>
      <c r="AQ479" s="161"/>
      <c r="AR479" s="161"/>
      <c r="AS479" s="161"/>
      <c r="AT479" s="161"/>
      <c r="AU479" s="161"/>
      <c r="AV479" s="161"/>
      <c r="AW479" s="161"/>
      <c r="AX479" s="161"/>
      <c r="AY479" s="161"/>
      <c r="AZ479" s="161"/>
      <c r="BA479" s="161"/>
      <c r="BB479" s="161"/>
      <c r="BC479" s="161"/>
      <c r="BD479" s="161"/>
      <c r="BE479" s="161"/>
      <c r="BF479" s="161"/>
      <c r="BG479" s="161"/>
      <c r="BH479" s="161"/>
      <c r="BI479" s="161"/>
      <c r="BJ479" s="161"/>
      <c r="BK479" s="161"/>
      <c r="BL479" s="161"/>
      <c r="BM479" s="161"/>
      <c r="BN479" s="161"/>
      <c r="BO479" s="161"/>
      <c r="BP479" s="161"/>
      <c r="BQ479" s="161"/>
      <c r="BR479" s="161"/>
      <c r="BS479" s="161"/>
      <c r="BT479" s="161"/>
      <c r="BU479" s="161"/>
    </row>
    <row r="480" spans="15:73" x14ac:dyDescent="0.2"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  <c r="AH480" s="161"/>
      <c r="AI480" s="161"/>
      <c r="AJ480" s="161"/>
      <c r="AK480" s="161"/>
      <c r="AL480" s="161"/>
      <c r="AM480" s="161"/>
      <c r="AN480" s="161"/>
      <c r="AO480" s="161"/>
      <c r="AP480" s="161"/>
      <c r="AQ480" s="161"/>
      <c r="AR480" s="161"/>
      <c r="AS480" s="161"/>
      <c r="AT480" s="161"/>
      <c r="AU480" s="161"/>
      <c r="AV480" s="161"/>
      <c r="AW480" s="161"/>
      <c r="AX480" s="161"/>
      <c r="AY480" s="161"/>
      <c r="AZ480" s="161"/>
      <c r="BA480" s="161"/>
      <c r="BB480" s="161"/>
      <c r="BC480" s="161"/>
      <c r="BD480" s="161"/>
      <c r="BE480" s="161"/>
      <c r="BF480" s="161"/>
      <c r="BG480" s="161"/>
      <c r="BH480" s="161"/>
      <c r="BI480" s="161"/>
      <c r="BJ480" s="161"/>
      <c r="BK480" s="161"/>
      <c r="BL480" s="161"/>
      <c r="BM480" s="161"/>
      <c r="BN480" s="161"/>
      <c r="BO480" s="161"/>
      <c r="BP480" s="161"/>
      <c r="BQ480" s="161"/>
      <c r="BR480" s="161"/>
      <c r="BS480" s="161"/>
      <c r="BT480" s="161"/>
      <c r="BU480" s="161"/>
    </row>
    <row r="481" spans="15:73" x14ac:dyDescent="0.2"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  <c r="AH481" s="161"/>
      <c r="AI481" s="161"/>
      <c r="AJ481" s="161"/>
      <c r="AK481" s="161"/>
      <c r="AL481" s="161"/>
      <c r="AM481" s="161"/>
      <c r="AN481" s="161"/>
      <c r="AO481" s="161"/>
      <c r="AP481" s="161"/>
      <c r="AQ481" s="161"/>
      <c r="AR481" s="161"/>
      <c r="AS481" s="161"/>
      <c r="AT481" s="161"/>
      <c r="AU481" s="161"/>
      <c r="AV481" s="161"/>
      <c r="AW481" s="161"/>
      <c r="AX481" s="161"/>
      <c r="AY481" s="161"/>
      <c r="AZ481" s="161"/>
      <c r="BA481" s="161"/>
      <c r="BB481" s="161"/>
      <c r="BC481" s="161"/>
      <c r="BD481" s="161"/>
      <c r="BE481" s="161"/>
      <c r="BF481" s="161"/>
      <c r="BG481" s="161"/>
      <c r="BH481" s="161"/>
      <c r="BI481" s="161"/>
      <c r="BJ481" s="161"/>
      <c r="BK481" s="161"/>
      <c r="BL481" s="161"/>
      <c r="BM481" s="161"/>
      <c r="BN481" s="161"/>
      <c r="BO481" s="161"/>
      <c r="BP481" s="161"/>
      <c r="BQ481" s="161"/>
      <c r="BR481" s="161"/>
      <c r="BS481" s="161"/>
      <c r="BT481" s="161"/>
      <c r="BU481" s="161"/>
    </row>
    <row r="482" spans="15:73" x14ac:dyDescent="0.2"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  <c r="AH482" s="161"/>
      <c r="AI482" s="161"/>
      <c r="AJ482" s="161"/>
      <c r="AK482" s="161"/>
      <c r="AL482" s="161"/>
      <c r="AM482" s="161"/>
      <c r="AN482" s="161"/>
      <c r="AO482" s="161"/>
      <c r="AP482" s="161"/>
      <c r="AQ482" s="161"/>
      <c r="AR482" s="161"/>
      <c r="AS482" s="161"/>
      <c r="AT482" s="161"/>
      <c r="AU482" s="161"/>
      <c r="AV482" s="161"/>
      <c r="AW482" s="161"/>
      <c r="AX482" s="161"/>
      <c r="AY482" s="161"/>
      <c r="AZ482" s="161"/>
      <c r="BA482" s="161"/>
      <c r="BB482" s="161"/>
      <c r="BC482" s="161"/>
      <c r="BD482" s="161"/>
      <c r="BE482" s="161"/>
      <c r="BF482" s="161"/>
      <c r="BG482" s="161"/>
      <c r="BH482" s="161"/>
      <c r="BI482" s="161"/>
      <c r="BJ482" s="161"/>
      <c r="BK482" s="161"/>
      <c r="BL482" s="161"/>
      <c r="BM482" s="161"/>
      <c r="BN482" s="161"/>
      <c r="BO482" s="161"/>
      <c r="BP482" s="161"/>
      <c r="BQ482" s="161"/>
      <c r="BR482" s="161"/>
      <c r="BS482" s="161"/>
      <c r="BT482" s="161"/>
      <c r="BU482" s="161"/>
    </row>
    <row r="483" spans="15:73" x14ac:dyDescent="0.2"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61"/>
      <c r="AN483" s="161"/>
      <c r="AO483" s="161"/>
      <c r="AP483" s="161"/>
      <c r="AQ483" s="161"/>
      <c r="AR483" s="161"/>
      <c r="AS483" s="161"/>
      <c r="AT483" s="161"/>
      <c r="AU483" s="161"/>
      <c r="AV483" s="161"/>
      <c r="AW483" s="161"/>
      <c r="AX483" s="161"/>
      <c r="AY483" s="161"/>
      <c r="AZ483" s="161"/>
      <c r="BA483" s="161"/>
      <c r="BB483" s="161"/>
      <c r="BC483" s="161"/>
      <c r="BD483" s="161"/>
      <c r="BE483" s="161"/>
      <c r="BF483" s="161"/>
      <c r="BG483" s="161"/>
      <c r="BH483" s="161"/>
      <c r="BI483" s="161"/>
      <c r="BJ483" s="161"/>
      <c r="BK483" s="161"/>
      <c r="BL483" s="161"/>
      <c r="BM483" s="161"/>
      <c r="BN483" s="161"/>
      <c r="BO483" s="161"/>
      <c r="BP483" s="161"/>
      <c r="BQ483" s="161"/>
      <c r="BR483" s="161"/>
      <c r="BS483" s="161"/>
      <c r="BT483" s="161"/>
      <c r="BU483" s="161"/>
    </row>
    <row r="484" spans="15:73" x14ac:dyDescent="0.2"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  <c r="AH484" s="161"/>
      <c r="AI484" s="161"/>
      <c r="AJ484" s="161"/>
      <c r="AK484" s="161"/>
      <c r="AL484" s="161"/>
      <c r="AM484" s="161"/>
      <c r="AN484" s="161"/>
      <c r="AO484" s="161"/>
      <c r="AP484" s="161"/>
      <c r="AQ484" s="161"/>
      <c r="AR484" s="161"/>
      <c r="AS484" s="161"/>
      <c r="AT484" s="161"/>
      <c r="AU484" s="161"/>
      <c r="AV484" s="161"/>
      <c r="AW484" s="161"/>
      <c r="AX484" s="161"/>
      <c r="AY484" s="161"/>
      <c r="AZ484" s="161"/>
      <c r="BA484" s="161"/>
      <c r="BB484" s="161"/>
      <c r="BC484" s="161"/>
      <c r="BD484" s="161"/>
      <c r="BE484" s="161"/>
      <c r="BF484" s="161"/>
      <c r="BG484" s="161"/>
      <c r="BH484" s="161"/>
      <c r="BI484" s="161"/>
      <c r="BJ484" s="161"/>
      <c r="BK484" s="161"/>
      <c r="BL484" s="161"/>
      <c r="BM484" s="161"/>
      <c r="BN484" s="161"/>
      <c r="BO484" s="161"/>
      <c r="BP484" s="161"/>
      <c r="BQ484" s="161"/>
      <c r="BR484" s="161"/>
      <c r="BS484" s="161"/>
      <c r="BT484" s="161"/>
      <c r="BU484" s="161"/>
    </row>
    <row r="485" spans="15:73" x14ac:dyDescent="0.2"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  <c r="AH485" s="161"/>
      <c r="AI485" s="161"/>
      <c r="AJ485" s="161"/>
      <c r="AK485" s="161"/>
      <c r="AL485" s="161"/>
      <c r="AM485" s="161"/>
      <c r="AN485" s="161"/>
      <c r="AO485" s="161"/>
      <c r="AP485" s="161"/>
      <c r="AQ485" s="161"/>
      <c r="AR485" s="161"/>
      <c r="AS485" s="161"/>
      <c r="AT485" s="161"/>
      <c r="AU485" s="161"/>
      <c r="AV485" s="161"/>
      <c r="AW485" s="161"/>
      <c r="AX485" s="161"/>
      <c r="AY485" s="161"/>
      <c r="AZ485" s="161"/>
      <c r="BA485" s="161"/>
      <c r="BB485" s="161"/>
      <c r="BC485" s="161"/>
      <c r="BD485" s="161"/>
      <c r="BE485" s="161"/>
      <c r="BF485" s="161"/>
      <c r="BG485" s="161"/>
      <c r="BH485" s="161"/>
      <c r="BI485" s="161"/>
      <c r="BJ485" s="161"/>
      <c r="BK485" s="161"/>
      <c r="BL485" s="161"/>
      <c r="BM485" s="161"/>
      <c r="BN485" s="161"/>
      <c r="BO485" s="161"/>
      <c r="BP485" s="161"/>
      <c r="BQ485" s="161"/>
      <c r="BR485" s="161"/>
      <c r="BS485" s="161"/>
      <c r="BT485" s="161"/>
      <c r="BU485" s="161"/>
    </row>
    <row r="486" spans="15:73" x14ac:dyDescent="0.2"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  <c r="AH486" s="161"/>
      <c r="AI486" s="161"/>
      <c r="AJ486" s="161"/>
      <c r="AK486" s="161"/>
      <c r="AL486" s="161"/>
      <c r="AM486" s="161"/>
      <c r="AN486" s="161"/>
      <c r="AO486" s="161"/>
      <c r="AP486" s="161"/>
      <c r="AQ486" s="161"/>
      <c r="AR486" s="161"/>
      <c r="AS486" s="161"/>
      <c r="AT486" s="161"/>
      <c r="AU486" s="161"/>
      <c r="AV486" s="161"/>
      <c r="AW486" s="161"/>
      <c r="AX486" s="161"/>
      <c r="AY486" s="161"/>
      <c r="AZ486" s="161"/>
      <c r="BA486" s="161"/>
      <c r="BB486" s="161"/>
      <c r="BC486" s="161"/>
      <c r="BD486" s="161"/>
      <c r="BE486" s="161"/>
      <c r="BF486" s="161"/>
      <c r="BG486" s="161"/>
      <c r="BH486" s="161"/>
      <c r="BI486" s="161"/>
      <c r="BJ486" s="161"/>
      <c r="BK486" s="161"/>
      <c r="BL486" s="161"/>
      <c r="BM486" s="161"/>
      <c r="BN486" s="161"/>
      <c r="BO486" s="161"/>
      <c r="BP486" s="161"/>
      <c r="BQ486" s="161"/>
      <c r="BR486" s="161"/>
      <c r="BS486" s="161"/>
      <c r="BT486" s="161"/>
      <c r="BU486" s="161"/>
    </row>
    <row r="487" spans="15:73" x14ac:dyDescent="0.2"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  <c r="AH487" s="161"/>
      <c r="AI487" s="161"/>
      <c r="AJ487" s="161"/>
      <c r="AK487" s="161"/>
      <c r="AL487" s="161"/>
      <c r="AM487" s="161"/>
      <c r="AN487" s="161"/>
      <c r="AO487" s="161"/>
      <c r="AP487" s="161"/>
      <c r="AQ487" s="161"/>
      <c r="AR487" s="161"/>
      <c r="AS487" s="161"/>
      <c r="AT487" s="161"/>
      <c r="AU487" s="161"/>
      <c r="AV487" s="161"/>
      <c r="AW487" s="161"/>
      <c r="AX487" s="161"/>
      <c r="AY487" s="161"/>
      <c r="AZ487" s="161"/>
      <c r="BA487" s="161"/>
      <c r="BB487" s="161"/>
      <c r="BC487" s="161"/>
      <c r="BD487" s="161"/>
      <c r="BE487" s="161"/>
      <c r="BF487" s="161"/>
      <c r="BG487" s="161"/>
      <c r="BH487" s="161"/>
      <c r="BI487" s="161"/>
      <c r="BJ487" s="161"/>
      <c r="BK487" s="161"/>
      <c r="BL487" s="161"/>
      <c r="BM487" s="161"/>
      <c r="BN487" s="161"/>
      <c r="BO487" s="161"/>
      <c r="BP487" s="161"/>
      <c r="BQ487" s="161"/>
      <c r="BR487" s="161"/>
      <c r="BS487" s="161"/>
      <c r="BT487" s="161"/>
      <c r="BU487" s="161"/>
    </row>
    <row r="488" spans="15:73" x14ac:dyDescent="0.2"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  <c r="AH488" s="161"/>
      <c r="AI488" s="161"/>
      <c r="AJ488" s="161"/>
      <c r="AK488" s="161"/>
      <c r="AL488" s="161"/>
      <c r="AM488" s="161"/>
      <c r="AN488" s="161"/>
      <c r="AO488" s="161"/>
      <c r="AP488" s="161"/>
      <c r="AQ488" s="161"/>
      <c r="AR488" s="161"/>
      <c r="AS488" s="161"/>
      <c r="AT488" s="161"/>
      <c r="AU488" s="161"/>
      <c r="AV488" s="161"/>
      <c r="AW488" s="161"/>
      <c r="AX488" s="161"/>
      <c r="AY488" s="161"/>
      <c r="AZ488" s="161"/>
      <c r="BA488" s="161"/>
      <c r="BB488" s="161"/>
      <c r="BC488" s="161"/>
      <c r="BD488" s="161"/>
      <c r="BE488" s="161"/>
      <c r="BF488" s="161"/>
      <c r="BG488" s="161"/>
      <c r="BH488" s="161"/>
      <c r="BI488" s="161"/>
      <c r="BJ488" s="161"/>
      <c r="BK488" s="161"/>
      <c r="BL488" s="161"/>
      <c r="BM488" s="161"/>
      <c r="BN488" s="161"/>
      <c r="BO488" s="161"/>
      <c r="BP488" s="161"/>
      <c r="BQ488" s="161"/>
      <c r="BR488" s="161"/>
      <c r="BS488" s="161"/>
      <c r="BT488" s="161"/>
      <c r="BU488" s="161"/>
    </row>
    <row r="489" spans="15:73" x14ac:dyDescent="0.2"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61"/>
      <c r="AN489" s="161"/>
      <c r="AO489" s="161"/>
      <c r="AP489" s="161"/>
      <c r="AQ489" s="161"/>
      <c r="AR489" s="161"/>
      <c r="AS489" s="161"/>
      <c r="AT489" s="161"/>
      <c r="AU489" s="161"/>
      <c r="AV489" s="161"/>
      <c r="AW489" s="161"/>
      <c r="AX489" s="161"/>
      <c r="AY489" s="161"/>
      <c r="AZ489" s="161"/>
      <c r="BA489" s="161"/>
      <c r="BB489" s="161"/>
      <c r="BC489" s="161"/>
      <c r="BD489" s="161"/>
      <c r="BE489" s="161"/>
      <c r="BF489" s="161"/>
      <c r="BG489" s="161"/>
      <c r="BH489" s="161"/>
      <c r="BI489" s="161"/>
      <c r="BJ489" s="161"/>
      <c r="BK489" s="161"/>
      <c r="BL489" s="161"/>
      <c r="BM489" s="161"/>
      <c r="BN489" s="161"/>
      <c r="BO489" s="161"/>
      <c r="BP489" s="161"/>
      <c r="BQ489" s="161"/>
      <c r="BR489" s="161"/>
      <c r="BS489" s="161"/>
      <c r="BT489" s="161"/>
      <c r="BU489" s="161"/>
    </row>
    <row r="490" spans="15:73" x14ac:dyDescent="0.2"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  <c r="AH490" s="161"/>
      <c r="AI490" s="161"/>
      <c r="AJ490" s="161"/>
      <c r="AK490" s="161"/>
      <c r="AL490" s="161"/>
      <c r="AM490" s="161"/>
      <c r="AN490" s="161"/>
      <c r="AO490" s="161"/>
      <c r="AP490" s="161"/>
      <c r="AQ490" s="161"/>
      <c r="AR490" s="161"/>
      <c r="AS490" s="161"/>
      <c r="AT490" s="161"/>
      <c r="AU490" s="161"/>
      <c r="AV490" s="161"/>
      <c r="AW490" s="161"/>
      <c r="AX490" s="161"/>
      <c r="AY490" s="161"/>
      <c r="AZ490" s="161"/>
      <c r="BA490" s="161"/>
      <c r="BB490" s="161"/>
      <c r="BC490" s="161"/>
      <c r="BD490" s="161"/>
      <c r="BE490" s="161"/>
      <c r="BF490" s="161"/>
      <c r="BG490" s="161"/>
      <c r="BH490" s="161"/>
      <c r="BI490" s="161"/>
      <c r="BJ490" s="161"/>
      <c r="BK490" s="161"/>
      <c r="BL490" s="161"/>
      <c r="BM490" s="161"/>
      <c r="BN490" s="161"/>
      <c r="BO490" s="161"/>
      <c r="BP490" s="161"/>
      <c r="BQ490" s="161"/>
      <c r="BR490" s="161"/>
      <c r="BS490" s="161"/>
      <c r="BT490" s="161"/>
      <c r="BU490" s="161"/>
    </row>
    <row r="491" spans="15:73" x14ac:dyDescent="0.2"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  <c r="AH491" s="161"/>
      <c r="AI491" s="161"/>
      <c r="AJ491" s="161"/>
      <c r="AK491" s="161"/>
      <c r="AL491" s="161"/>
      <c r="AM491" s="161"/>
      <c r="AN491" s="161"/>
      <c r="AO491" s="161"/>
      <c r="AP491" s="161"/>
      <c r="AQ491" s="161"/>
      <c r="AR491" s="161"/>
      <c r="AS491" s="161"/>
      <c r="AT491" s="161"/>
      <c r="AU491" s="161"/>
      <c r="AV491" s="161"/>
      <c r="AW491" s="161"/>
      <c r="AX491" s="161"/>
      <c r="AY491" s="161"/>
      <c r="AZ491" s="161"/>
      <c r="BA491" s="161"/>
      <c r="BB491" s="161"/>
      <c r="BC491" s="161"/>
      <c r="BD491" s="161"/>
      <c r="BE491" s="161"/>
      <c r="BF491" s="161"/>
      <c r="BG491" s="161"/>
      <c r="BH491" s="161"/>
      <c r="BI491" s="161"/>
      <c r="BJ491" s="161"/>
      <c r="BK491" s="161"/>
      <c r="BL491" s="161"/>
      <c r="BM491" s="161"/>
      <c r="BN491" s="161"/>
      <c r="BO491" s="161"/>
      <c r="BP491" s="161"/>
      <c r="BQ491" s="161"/>
      <c r="BR491" s="161"/>
      <c r="BS491" s="161"/>
      <c r="BT491" s="161"/>
      <c r="BU491" s="161"/>
    </row>
    <row r="492" spans="15:73" x14ac:dyDescent="0.2"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  <c r="AH492" s="161"/>
      <c r="AI492" s="161"/>
      <c r="AJ492" s="161"/>
      <c r="AK492" s="161"/>
      <c r="AL492" s="161"/>
      <c r="AM492" s="161"/>
      <c r="AN492" s="161"/>
      <c r="AO492" s="161"/>
      <c r="AP492" s="161"/>
      <c r="AQ492" s="161"/>
      <c r="AR492" s="161"/>
      <c r="AS492" s="161"/>
      <c r="AT492" s="161"/>
      <c r="AU492" s="161"/>
      <c r="AV492" s="161"/>
      <c r="AW492" s="161"/>
      <c r="AX492" s="161"/>
      <c r="AY492" s="161"/>
      <c r="AZ492" s="161"/>
      <c r="BA492" s="161"/>
      <c r="BB492" s="161"/>
      <c r="BC492" s="161"/>
      <c r="BD492" s="161"/>
      <c r="BE492" s="161"/>
      <c r="BF492" s="161"/>
      <c r="BG492" s="161"/>
      <c r="BH492" s="161"/>
      <c r="BI492" s="161"/>
      <c r="BJ492" s="161"/>
      <c r="BK492" s="161"/>
      <c r="BL492" s="161"/>
      <c r="BM492" s="161"/>
      <c r="BN492" s="161"/>
      <c r="BO492" s="161"/>
      <c r="BP492" s="161"/>
      <c r="BQ492" s="161"/>
      <c r="BR492" s="161"/>
      <c r="BS492" s="161"/>
      <c r="BT492" s="161"/>
      <c r="BU492" s="161"/>
    </row>
    <row r="493" spans="15:73" x14ac:dyDescent="0.2"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  <c r="AH493" s="161"/>
      <c r="AI493" s="161"/>
      <c r="AJ493" s="161"/>
      <c r="AK493" s="161"/>
      <c r="AL493" s="161"/>
      <c r="AM493" s="161"/>
      <c r="AN493" s="161"/>
      <c r="AO493" s="161"/>
      <c r="AP493" s="161"/>
      <c r="AQ493" s="161"/>
      <c r="AR493" s="161"/>
      <c r="AS493" s="161"/>
      <c r="AT493" s="161"/>
      <c r="AU493" s="161"/>
      <c r="AV493" s="161"/>
      <c r="AW493" s="161"/>
      <c r="AX493" s="161"/>
      <c r="AY493" s="161"/>
      <c r="AZ493" s="161"/>
      <c r="BA493" s="161"/>
      <c r="BB493" s="161"/>
      <c r="BC493" s="161"/>
      <c r="BD493" s="161"/>
      <c r="BE493" s="161"/>
      <c r="BF493" s="161"/>
      <c r="BG493" s="161"/>
      <c r="BH493" s="161"/>
      <c r="BI493" s="161"/>
      <c r="BJ493" s="161"/>
      <c r="BK493" s="161"/>
      <c r="BL493" s="161"/>
      <c r="BM493" s="161"/>
      <c r="BN493" s="161"/>
      <c r="BO493" s="161"/>
      <c r="BP493" s="161"/>
      <c r="BQ493" s="161"/>
      <c r="BR493" s="161"/>
      <c r="BS493" s="161"/>
      <c r="BT493" s="161"/>
      <c r="BU493" s="161"/>
    </row>
    <row r="494" spans="15:73" x14ac:dyDescent="0.2"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  <c r="AH494" s="161"/>
      <c r="AI494" s="161"/>
      <c r="AJ494" s="161"/>
      <c r="AK494" s="161"/>
      <c r="AL494" s="161"/>
      <c r="AM494" s="161"/>
      <c r="AN494" s="161"/>
      <c r="AO494" s="161"/>
      <c r="AP494" s="161"/>
      <c r="AQ494" s="161"/>
      <c r="AR494" s="161"/>
      <c r="AS494" s="161"/>
      <c r="AT494" s="161"/>
      <c r="AU494" s="161"/>
      <c r="AV494" s="161"/>
      <c r="AW494" s="161"/>
      <c r="AX494" s="161"/>
      <c r="AY494" s="161"/>
      <c r="AZ494" s="161"/>
      <c r="BA494" s="161"/>
      <c r="BB494" s="161"/>
      <c r="BC494" s="161"/>
      <c r="BD494" s="161"/>
      <c r="BE494" s="161"/>
      <c r="BF494" s="161"/>
      <c r="BG494" s="161"/>
      <c r="BH494" s="161"/>
      <c r="BI494" s="161"/>
      <c r="BJ494" s="161"/>
      <c r="BK494" s="161"/>
      <c r="BL494" s="161"/>
      <c r="BM494" s="161"/>
      <c r="BN494" s="161"/>
      <c r="BO494" s="161"/>
      <c r="BP494" s="161"/>
      <c r="BQ494" s="161"/>
      <c r="BR494" s="161"/>
      <c r="BS494" s="161"/>
      <c r="BT494" s="161"/>
      <c r="BU494" s="161"/>
    </row>
    <row r="495" spans="15:73" x14ac:dyDescent="0.2"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  <c r="AH495" s="161"/>
      <c r="AI495" s="161"/>
      <c r="AJ495" s="161"/>
      <c r="AK495" s="161"/>
      <c r="AL495" s="161"/>
      <c r="AM495" s="161"/>
      <c r="AN495" s="161"/>
      <c r="AO495" s="161"/>
      <c r="AP495" s="161"/>
      <c r="AQ495" s="161"/>
      <c r="AR495" s="161"/>
      <c r="AS495" s="161"/>
      <c r="AT495" s="161"/>
      <c r="AU495" s="161"/>
      <c r="AV495" s="161"/>
      <c r="AW495" s="161"/>
      <c r="AX495" s="161"/>
      <c r="AY495" s="161"/>
      <c r="AZ495" s="161"/>
      <c r="BA495" s="161"/>
      <c r="BB495" s="161"/>
      <c r="BC495" s="161"/>
      <c r="BD495" s="161"/>
      <c r="BE495" s="161"/>
      <c r="BF495" s="161"/>
      <c r="BG495" s="161"/>
      <c r="BH495" s="161"/>
      <c r="BI495" s="161"/>
      <c r="BJ495" s="161"/>
      <c r="BK495" s="161"/>
      <c r="BL495" s="161"/>
      <c r="BM495" s="161"/>
      <c r="BN495" s="161"/>
      <c r="BO495" s="161"/>
      <c r="BP495" s="161"/>
      <c r="BQ495" s="161"/>
      <c r="BR495" s="161"/>
      <c r="BS495" s="161"/>
      <c r="BT495" s="161"/>
      <c r="BU495" s="161"/>
    </row>
    <row r="496" spans="15:73" x14ac:dyDescent="0.2"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  <c r="AH496" s="161"/>
      <c r="AI496" s="161"/>
      <c r="AJ496" s="161"/>
      <c r="AK496" s="161"/>
      <c r="AL496" s="161"/>
      <c r="AM496" s="161"/>
      <c r="AN496" s="161"/>
      <c r="AO496" s="161"/>
      <c r="AP496" s="161"/>
      <c r="AQ496" s="161"/>
      <c r="AR496" s="161"/>
      <c r="AS496" s="161"/>
      <c r="AT496" s="161"/>
      <c r="AU496" s="161"/>
      <c r="AV496" s="161"/>
      <c r="AW496" s="161"/>
      <c r="AX496" s="161"/>
      <c r="AY496" s="161"/>
      <c r="AZ496" s="161"/>
      <c r="BA496" s="161"/>
      <c r="BB496" s="161"/>
      <c r="BC496" s="161"/>
      <c r="BD496" s="161"/>
      <c r="BE496" s="161"/>
      <c r="BF496" s="161"/>
      <c r="BG496" s="161"/>
      <c r="BH496" s="161"/>
      <c r="BI496" s="161"/>
      <c r="BJ496" s="161"/>
      <c r="BK496" s="161"/>
      <c r="BL496" s="161"/>
      <c r="BM496" s="161"/>
      <c r="BN496" s="161"/>
      <c r="BO496" s="161"/>
      <c r="BP496" s="161"/>
      <c r="BQ496" s="161"/>
      <c r="BR496" s="161"/>
      <c r="BS496" s="161"/>
      <c r="BT496" s="161"/>
      <c r="BU496" s="161"/>
    </row>
    <row r="497" spans="15:73" x14ac:dyDescent="0.2"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  <c r="AH497" s="161"/>
      <c r="AI497" s="161"/>
      <c r="AJ497" s="161"/>
      <c r="AK497" s="161"/>
      <c r="AL497" s="161"/>
      <c r="AM497" s="161"/>
      <c r="AN497" s="161"/>
      <c r="AO497" s="161"/>
      <c r="AP497" s="161"/>
      <c r="AQ497" s="161"/>
      <c r="AR497" s="161"/>
      <c r="AS497" s="161"/>
      <c r="AT497" s="161"/>
      <c r="AU497" s="161"/>
      <c r="AV497" s="161"/>
      <c r="AW497" s="161"/>
      <c r="AX497" s="161"/>
      <c r="AY497" s="161"/>
      <c r="AZ497" s="161"/>
      <c r="BA497" s="161"/>
      <c r="BB497" s="161"/>
      <c r="BC497" s="161"/>
      <c r="BD497" s="161"/>
      <c r="BE497" s="161"/>
      <c r="BF497" s="161"/>
      <c r="BG497" s="161"/>
      <c r="BH497" s="161"/>
      <c r="BI497" s="161"/>
      <c r="BJ497" s="161"/>
      <c r="BK497" s="161"/>
      <c r="BL497" s="161"/>
      <c r="BM497" s="161"/>
      <c r="BN497" s="161"/>
      <c r="BO497" s="161"/>
      <c r="BP497" s="161"/>
      <c r="BQ497" s="161"/>
      <c r="BR497" s="161"/>
      <c r="BS497" s="161"/>
      <c r="BT497" s="161"/>
      <c r="BU497" s="161"/>
    </row>
    <row r="498" spans="15:73" x14ac:dyDescent="0.2"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  <c r="AH498" s="161"/>
      <c r="AI498" s="161"/>
      <c r="AJ498" s="161"/>
      <c r="AK498" s="161"/>
      <c r="AL498" s="161"/>
      <c r="AM498" s="161"/>
      <c r="AN498" s="161"/>
      <c r="AO498" s="161"/>
      <c r="AP498" s="161"/>
      <c r="AQ498" s="161"/>
      <c r="AR498" s="161"/>
      <c r="AS498" s="161"/>
      <c r="AT498" s="161"/>
      <c r="AU498" s="161"/>
      <c r="AV498" s="161"/>
      <c r="AW498" s="161"/>
      <c r="AX498" s="161"/>
      <c r="AY498" s="161"/>
      <c r="AZ498" s="161"/>
      <c r="BA498" s="161"/>
      <c r="BB498" s="161"/>
      <c r="BC498" s="161"/>
      <c r="BD498" s="161"/>
      <c r="BE498" s="161"/>
      <c r="BF498" s="161"/>
      <c r="BG498" s="161"/>
      <c r="BH498" s="161"/>
      <c r="BI498" s="161"/>
      <c r="BJ498" s="161"/>
      <c r="BK498" s="161"/>
      <c r="BL498" s="161"/>
      <c r="BM498" s="161"/>
      <c r="BN498" s="161"/>
      <c r="BO498" s="161"/>
      <c r="BP498" s="161"/>
      <c r="BQ498" s="161"/>
      <c r="BR498" s="161"/>
      <c r="BS498" s="161"/>
      <c r="BT498" s="161"/>
      <c r="BU498" s="161"/>
    </row>
    <row r="499" spans="15:73" x14ac:dyDescent="0.2"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  <c r="AH499" s="161"/>
      <c r="AI499" s="161"/>
      <c r="AJ499" s="161"/>
      <c r="AK499" s="161"/>
      <c r="AL499" s="161"/>
      <c r="AM499" s="161"/>
      <c r="AN499" s="161"/>
      <c r="AO499" s="161"/>
      <c r="AP499" s="161"/>
      <c r="AQ499" s="161"/>
      <c r="AR499" s="161"/>
      <c r="AS499" s="161"/>
      <c r="AT499" s="161"/>
      <c r="AU499" s="161"/>
      <c r="AV499" s="161"/>
      <c r="AW499" s="161"/>
      <c r="AX499" s="161"/>
      <c r="AY499" s="161"/>
      <c r="AZ499" s="161"/>
      <c r="BA499" s="161"/>
      <c r="BB499" s="161"/>
      <c r="BC499" s="161"/>
      <c r="BD499" s="161"/>
      <c r="BE499" s="161"/>
      <c r="BF499" s="161"/>
      <c r="BG499" s="161"/>
      <c r="BH499" s="161"/>
      <c r="BI499" s="161"/>
      <c r="BJ499" s="161"/>
      <c r="BK499" s="161"/>
      <c r="BL499" s="161"/>
      <c r="BM499" s="161"/>
      <c r="BN499" s="161"/>
      <c r="BO499" s="161"/>
      <c r="BP499" s="161"/>
      <c r="BQ499" s="161"/>
      <c r="BR499" s="161"/>
      <c r="BS499" s="161"/>
      <c r="BT499" s="161"/>
      <c r="BU499" s="161"/>
    </row>
    <row r="500" spans="15:73" x14ac:dyDescent="0.2"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  <c r="AH500" s="161"/>
      <c r="AI500" s="161"/>
      <c r="AJ500" s="161"/>
      <c r="AK500" s="161"/>
      <c r="AL500" s="161"/>
      <c r="AM500" s="161"/>
      <c r="AN500" s="161"/>
      <c r="AO500" s="161"/>
      <c r="AP500" s="161"/>
      <c r="AQ500" s="161"/>
      <c r="AR500" s="161"/>
      <c r="AS500" s="161"/>
      <c r="AT500" s="161"/>
      <c r="AU500" s="161"/>
      <c r="AV500" s="161"/>
      <c r="AW500" s="161"/>
      <c r="AX500" s="161"/>
      <c r="AY500" s="161"/>
      <c r="AZ500" s="161"/>
      <c r="BA500" s="161"/>
      <c r="BB500" s="161"/>
      <c r="BC500" s="161"/>
      <c r="BD500" s="161"/>
      <c r="BE500" s="161"/>
      <c r="BF500" s="161"/>
      <c r="BG500" s="161"/>
      <c r="BH500" s="161"/>
      <c r="BI500" s="161"/>
      <c r="BJ500" s="161"/>
      <c r="BK500" s="161"/>
      <c r="BL500" s="161"/>
      <c r="BM500" s="161"/>
      <c r="BN500" s="161"/>
      <c r="BO500" s="161"/>
      <c r="BP500" s="161"/>
      <c r="BQ500" s="161"/>
      <c r="BR500" s="161"/>
      <c r="BS500" s="161"/>
      <c r="BT500" s="161"/>
      <c r="BU500" s="161"/>
    </row>
    <row r="501" spans="15:73" x14ac:dyDescent="0.2"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  <c r="AH501" s="161"/>
      <c r="AI501" s="161"/>
      <c r="AJ501" s="161"/>
      <c r="AK501" s="161"/>
      <c r="AL501" s="161"/>
      <c r="AM501" s="161"/>
      <c r="AN501" s="161"/>
      <c r="AO501" s="161"/>
      <c r="AP501" s="161"/>
      <c r="AQ501" s="161"/>
      <c r="AR501" s="161"/>
      <c r="AS501" s="161"/>
      <c r="AT501" s="161"/>
      <c r="AU501" s="161"/>
      <c r="AV501" s="161"/>
      <c r="AW501" s="161"/>
      <c r="AX501" s="161"/>
      <c r="AY501" s="161"/>
      <c r="AZ501" s="161"/>
      <c r="BA501" s="161"/>
      <c r="BB501" s="161"/>
      <c r="BC501" s="161"/>
      <c r="BD501" s="161"/>
      <c r="BE501" s="161"/>
      <c r="BF501" s="161"/>
      <c r="BG501" s="161"/>
      <c r="BH501" s="161"/>
      <c r="BI501" s="161"/>
      <c r="BJ501" s="161"/>
      <c r="BK501" s="161"/>
      <c r="BL501" s="161"/>
      <c r="BM501" s="161"/>
      <c r="BN501" s="161"/>
      <c r="BO501" s="161"/>
      <c r="BP501" s="161"/>
      <c r="BQ501" s="161"/>
      <c r="BR501" s="161"/>
      <c r="BS501" s="161"/>
      <c r="BT501" s="161"/>
      <c r="BU501" s="161"/>
    </row>
    <row r="502" spans="15:73" x14ac:dyDescent="0.2"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  <c r="AH502" s="161"/>
      <c r="AI502" s="161"/>
      <c r="AJ502" s="161"/>
      <c r="AK502" s="161"/>
      <c r="AL502" s="161"/>
      <c r="AM502" s="161"/>
      <c r="AN502" s="161"/>
      <c r="AO502" s="161"/>
      <c r="AP502" s="161"/>
      <c r="AQ502" s="161"/>
      <c r="AR502" s="161"/>
      <c r="AS502" s="161"/>
      <c r="AT502" s="161"/>
      <c r="AU502" s="161"/>
      <c r="AV502" s="161"/>
      <c r="AW502" s="161"/>
      <c r="AX502" s="161"/>
      <c r="AY502" s="161"/>
      <c r="AZ502" s="161"/>
      <c r="BA502" s="161"/>
      <c r="BB502" s="161"/>
      <c r="BC502" s="161"/>
      <c r="BD502" s="161"/>
      <c r="BE502" s="161"/>
      <c r="BF502" s="161"/>
      <c r="BG502" s="161"/>
      <c r="BH502" s="161"/>
      <c r="BI502" s="161"/>
      <c r="BJ502" s="161"/>
      <c r="BK502" s="161"/>
      <c r="BL502" s="161"/>
      <c r="BM502" s="161"/>
      <c r="BN502" s="161"/>
      <c r="BO502" s="161"/>
      <c r="BP502" s="161"/>
      <c r="BQ502" s="161"/>
      <c r="BR502" s="161"/>
      <c r="BS502" s="161"/>
      <c r="BT502" s="161"/>
      <c r="BU502" s="161"/>
    </row>
    <row r="503" spans="15:73" x14ac:dyDescent="0.2"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  <c r="AH503" s="161"/>
      <c r="AI503" s="161"/>
      <c r="AJ503" s="161"/>
      <c r="AK503" s="161"/>
      <c r="AL503" s="161"/>
      <c r="AM503" s="161"/>
      <c r="AN503" s="161"/>
      <c r="AO503" s="161"/>
      <c r="AP503" s="161"/>
      <c r="AQ503" s="161"/>
      <c r="AR503" s="161"/>
      <c r="AS503" s="161"/>
      <c r="AT503" s="161"/>
      <c r="AU503" s="161"/>
      <c r="AV503" s="161"/>
      <c r="AW503" s="161"/>
      <c r="AX503" s="161"/>
      <c r="AY503" s="161"/>
      <c r="AZ503" s="161"/>
      <c r="BA503" s="161"/>
      <c r="BB503" s="161"/>
      <c r="BC503" s="161"/>
      <c r="BD503" s="161"/>
      <c r="BE503" s="161"/>
      <c r="BF503" s="161"/>
      <c r="BG503" s="161"/>
      <c r="BH503" s="161"/>
      <c r="BI503" s="161"/>
      <c r="BJ503" s="161"/>
      <c r="BK503" s="161"/>
      <c r="BL503" s="161"/>
      <c r="BM503" s="161"/>
      <c r="BN503" s="161"/>
      <c r="BO503" s="161"/>
      <c r="BP503" s="161"/>
      <c r="BQ503" s="161"/>
      <c r="BR503" s="161"/>
      <c r="BS503" s="161"/>
      <c r="BT503" s="161"/>
      <c r="BU503" s="161"/>
    </row>
    <row r="504" spans="15:73" x14ac:dyDescent="0.2"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  <c r="AH504" s="161"/>
      <c r="AI504" s="161"/>
      <c r="AJ504" s="161"/>
      <c r="AK504" s="161"/>
      <c r="AL504" s="161"/>
      <c r="AM504" s="161"/>
      <c r="AN504" s="161"/>
      <c r="AO504" s="161"/>
      <c r="AP504" s="161"/>
      <c r="AQ504" s="161"/>
      <c r="AR504" s="161"/>
      <c r="AS504" s="161"/>
      <c r="AT504" s="161"/>
      <c r="AU504" s="161"/>
      <c r="AV504" s="161"/>
      <c r="AW504" s="161"/>
      <c r="AX504" s="161"/>
      <c r="AY504" s="161"/>
      <c r="AZ504" s="161"/>
      <c r="BA504" s="161"/>
      <c r="BB504" s="161"/>
      <c r="BC504" s="161"/>
      <c r="BD504" s="161"/>
      <c r="BE504" s="161"/>
      <c r="BF504" s="161"/>
      <c r="BG504" s="161"/>
      <c r="BH504" s="161"/>
      <c r="BI504" s="161"/>
      <c r="BJ504" s="161"/>
      <c r="BK504" s="161"/>
      <c r="BL504" s="161"/>
      <c r="BM504" s="161"/>
      <c r="BN504" s="161"/>
      <c r="BO504" s="161"/>
      <c r="BP504" s="161"/>
      <c r="BQ504" s="161"/>
      <c r="BR504" s="161"/>
      <c r="BS504" s="161"/>
      <c r="BT504" s="161"/>
      <c r="BU504" s="161"/>
    </row>
    <row r="505" spans="15:73" x14ac:dyDescent="0.2"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  <c r="AH505" s="161"/>
      <c r="AI505" s="161"/>
      <c r="AJ505" s="161"/>
      <c r="AK505" s="161"/>
      <c r="AL505" s="161"/>
      <c r="AM505" s="161"/>
      <c r="AN505" s="161"/>
      <c r="AO505" s="161"/>
      <c r="AP505" s="161"/>
      <c r="AQ505" s="161"/>
      <c r="AR505" s="161"/>
      <c r="AS505" s="161"/>
      <c r="AT505" s="161"/>
      <c r="AU505" s="161"/>
      <c r="AV505" s="161"/>
      <c r="AW505" s="161"/>
      <c r="AX505" s="161"/>
      <c r="AY505" s="161"/>
      <c r="AZ505" s="161"/>
      <c r="BA505" s="161"/>
      <c r="BB505" s="161"/>
      <c r="BC505" s="161"/>
      <c r="BD505" s="161"/>
      <c r="BE505" s="161"/>
      <c r="BF505" s="161"/>
      <c r="BG505" s="161"/>
      <c r="BH505" s="161"/>
      <c r="BI505" s="161"/>
      <c r="BJ505" s="161"/>
      <c r="BK505" s="161"/>
      <c r="BL505" s="161"/>
      <c r="BM505" s="161"/>
      <c r="BN505" s="161"/>
      <c r="BO505" s="161"/>
      <c r="BP505" s="161"/>
      <c r="BQ505" s="161"/>
      <c r="BR505" s="161"/>
      <c r="BS505" s="161"/>
      <c r="BT505" s="161"/>
      <c r="BU505" s="161"/>
    </row>
    <row r="506" spans="15:73" x14ac:dyDescent="0.2"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  <c r="AH506" s="161"/>
      <c r="AI506" s="161"/>
      <c r="AJ506" s="161"/>
      <c r="AK506" s="161"/>
      <c r="AL506" s="161"/>
      <c r="AM506" s="161"/>
      <c r="AN506" s="161"/>
      <c r="AO506" s="161"/>
      <c r="AP506" s="161"/>
      <c r="AQ506" s="161"/>
      <c r="AR506" s="161"/>
      <c r="AS506" s="161"/>
      <c r="AT506" s="161"/>
      <c r="AU506" s="161"/>
      <c r="AV506" s="161"/>
      <c r="AW506" s="161"/>
      <c r="AX506" s="161"/>
      <c r="AY506" s="161"/>
      <c r="AZ506" s="161"/>
      <c r="BA506" s="161"/>
      <c r="BB506" s="161"/>
      <c r="BC506" s="161"/>
      <c r="BD506" s="161"/>
      <c r="BE506" s="161"/>
      <c r="BF506" s="161"/>
      <c r="BG506" s="161"/>
      <c r="BH506" s="161"/>
      <c r="BI506" s="161"/>
      <c r="BJ506" s="161"/>
      <c r="BK506" s="161"/>
      <c r="BL506" s="161"/>
      <c r="BM506" s="161"/>
      <c r="BN506" s="161"/>
      <c r="BO506" s="161"/>
      <c r="BP506" s="161"/>
      <c r="BQ506" s="161"/>
      <c r="BR506" s="161"/>
      <c r="BS506" s="161"/>
      <c r="BT506" s="161"/>
      <c r="BU506" s="161"/>
    </row>
    <row r="507" spans="15:73" x14ac:dyDescent="0.2"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  <c r="AH507" s="161"/>
      <c r="AI507" s="161"/>
      <c r="AJ507" s="161"/>
      <c r="AK507" s="161"/>
      <c r="AL507" s="161"/>
      <c r="AM507" s="161"/>
      <c r="AN507" s="161"/>
      <c r="AO507" s="161"/>
      <c r="AP507" s="161"/>
      <c r="AQ507" s="161"/>
      <c r="AR507" s="161"/>
      <c r="AS507" s="161"/>
      <c r="AT507" s="161"/>
      <c r="AU507" s="161"/>
      <c r="AV507" s="161"/>
      <c r="AW507" s="161"/>
      <c r="AX507" s="161"/>
      <c r="AY507" s="161"/>
      <c r="AZ507" s="161"/>
      <c r="BA507" s="161"/>
      <c r="BB507" s="161"/>
      <c r="BC507" s="161"/>
      <c r="BD507" s="161"/>
      <c r="BE507" s="161"/>
      <c r="BF507" s="161"/>
      <c r="BG507" s="161"/>
      <c r="BH507" s="161"/>
      <c r="BI507" s="161"/>
      <c r="BJ507" s="161"/>
      <c r="BK507" s="161"/>
      <c r="BL507" s="161"/>
      <c r="BM507" s="161"/>
      <c r="BN507" s="161"/>
      <c r="BO507" s="161"/>
      <c r="BP507" s="161"/>
      <c r="BQ507" s="161"/>
      <c r="BR507" s="161"/>
      <c r="BS507" s="161"/>
      <c r="BT507" s="161"/>
      <c r="BU507" s="161"/>
    </row>
    <row r="508" spans="15:73" x14ac:dyDescent="0.2"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  <c r="AH508" s="161"/>
      <c r="AI508" s="161"/>
      <c r="AJ508" s="161"/>
      <c r="AK508" s="161"/>
      <c r="AL508" s="161"/>
      <c r="AM508" s="161"/>
      <c r="AN508" s="161"/>
      <c r="AO508" s="161"/>
      <c r="AP508" s="161"/>
      <c r="AQ508" s="161"/>
      <c r="AR508" s="161"/>
      <c r="AS508" s="161"/>
      <c r="AT508" s="161"/>
      <c r="AU508" s="161"/>
      <c r="AV508" s="161"/>
      <c r="AW508" s="161"/>
      <c r="AX508" s="161"/>
      <c r="AY508" s="161"/>
      <c r="AZ508" s="161"/>
      <c r="BA508" s="161"/>
      <c r="BB508" s="161"/>
      <c r="BC508" s="161"/>
      <c r="BD508" s="161"/>
      <c r="BE508" s="161"/>
      <c r="BF508" s="161"/>
      <c r="BG508" s="161"/>
      <c r="BH508" s="161"/>
      <c r="BI508" s="161"/>
      <c r="BJ508" s="161"/>
      <c r="BK508" s="161"/>
      <c r="BL508" s="161"/>
      <c r="BM508" s="161"/>
      <c r="BN508" s="161"/>
      <c r="BO508" s="161"/>
      <c r="BP508" s="161"/>
      <c r="BQ508" s="161"/>
      <c r="BR508" s="161"/>
      <c r="BS508" s="161"/>
      <c r="BT508" s="161"/>
      <c r="BU508" s="161"/>
    </row>
    <row r="509" spans="15:73" x14ac:dyDescent="0.2"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  <c r="AH509" s="161"/>
      <c r="AI509" s="161"/>
      <c r="AJ509" s="161"/>
      <c r="AK509" s="161"/>
      <c r="AL509" s="161"/>
      <c r="AM509" s="161"/>
      <c r="AN509" s="161"/>
      <c r="AO509" s="161"/>
      <c r="AP509" s="161"/>
      <c r="AQ509" s="161"/>
      <c r="AR509" s="161"/>
      <c r="AS509" s="161"/>
      <c r="AT509" s="161"/>
      <c r="AU509" s="161"/>
      <c r="AV509" s="161"/>
      <c r="AW509" s="161"/>
      <c r="AX509" s="161"/>
      <c r="AY509" s="161"/>
      <c r="AZ509" s="161"/>
      <c r="BA509" s="161"/>
      <c r="BB509" s="161"/>
      <c r="BC509" s="161"/>
      <c r="BD509" s="161"/>
      <c r="BE509" s="161"/>
      <c r="BF509" s="161"/>
      <c r="BG509" s="161"/>
      <c r="BH509" s="161"/>
      <c r="BI509" s="161"/>
      <c r="BJ509" s="161"/>
      <c r="BK509" s="161"/>
      <c r="BL509" s="161"/>
      <c r="BM509" s="161"/>
      <c r="BN509" s="161"/>
      <c r="BO509" s="161"/>
      <c r="BP509" s="161"/>
      <c r="BQ509" s="161"/>
      <c r="BR509" s="161"/>
      <c r="BS509" s="161"/>
      <c r="BT509" s="161"/>
      <c r="BU509" s="161"/>
    </row>
    <row r="510" spans="15:73" x14ac:dyDescent="0.2"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61"/>
      <c r="AN510" s="161"/>
      <c r="AO510" s="161"/>
      <c r="AP510" s="161"/>
      <c r="AQ510" s="161"/>
      <c r="AR510" s="161"/>
      <c r="AS510" s="161"/>
      <c r="AT510" s="161"/>
      <c r="AU510" s="161"/>
      <c r="AV510" s="161"/>
      <c r="AW510" s="161"/>
      <c r="AX510" s="161"/>
      <c r="AY510" s="161"/>
      <c r="AZ510" s="161"/>
      <c r="BA510" s="161"/>
      <c r="BB510" s="161"/>
      <c r="BC510" s="161"/>
      <c r="BD510" s="161"/>
      <c r="BE510" s="161"/>
      <c r="BF510" s="161"/>
      <c r="BG510" s="161"/>
      <c r="BH510" s="161"/>
      <c r="BI510" s="161"/>
      <c r="BJ510" s="161"/>
      <c r="BK510" s="161"/>
      <c r="BL510" s="161"/>
      <c r="BM510" s="161"/>
      <c r="BN510" s="161"/>
      <c r="BO510" s="161"/>
      <c r="BP510" s="161"/>
      <c r="BQ510" s="161"/>
      <c r="BR510" s="161"/>
      <c r="BS510" s="161"/>
      <c r="BT510" s="161"/>
      <c r="BU510" s="161"/>
    </row>
    <row r="511" spans="15:73" x14ac:dyDescent="0.2"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  <c r="AH511" s="161"/>
      <c r="AI511" s="161"/>
      <c r="AJ511" s="161"/>
      <c r="AK511" s="161"/>
      <c r="AL511" s="161"/>
      <c r="AM511" s="161"/>
      <c r="AN511" s="161"/>
      <c r="AO511" s="161"/>
      <c r="AP511" s="161"/>
      <c r="AQ511" s="161"/>
      <c r="AR511" s="161"/>
      <c r="AS511" s="161"/>
      <c r="AT511" s="161"/>
      <c r="AU511" s="161"/>
      <c r="AV511" s="161"/>
      <c r="AW511" s="161"/>
      <c r="AX511" s="161"/>
      <c r="AY511" s="161"/>
      <c r="AZ511" s="161"/>
      <c r="BA511" s="161"/>
      <c r="BB511" s="161"/>
      <c r="BC511" s="161"/>
      <c r="BD511" s="161"/>
      <c r="BE511" s="161"/>
      <c r="BF511" s="161"/>
      <c r="BG511" s="161"/>
      <c r="BH511" s="161"/>
      <c r="BI511" s="161"/>
      <c r="BJ511" s="161"/>
      <c r="BK511" s="161"/>
      <c r="BL511" s="161"/>
      <c r="BM511" s="161"/>
      <c r="BN511" s="161"/>
      <c r="BO511" s="161"/>
      <c r="BP511" s="161"/>
      <c r="BQ511" s="161"/>
      <c r="BR511" s="161"/>
      <c r="BS511" s="161"/>
      <c r="BT511" s="161"/>
      <c r="BU511" s="161"/>
    </row>
    <row r="512" spans="15:73" x14ac:dyDescent="0.2"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  <c r="AH512" s="161"/>
      <c r="AI512" s="161"/>
      <c r="AJ512" s="161"/>
      <c r="AK512" s="161"/>
      <c r="AL512" s="161"/>
      <c r="AM512" s="161"/>
      <c r="AN512" s="161"/>
      <c r="AO512" s="161"/>
      <c r="AP512" s="161"/>
      <c r="AQ512" s="161"/>
      <c r="AR512" s="161"/>
      <c r="AS512" s="161"/>
      <c r="AT512" s="161"/>
      <c r="AU512" s="161"/>
      <c r="AV512" s="161"/>
      <c r="AW512" s="161"/>
      <c r="AX512" s="161"/>
      <c r="AY512" s="161"/>
      <c r="AZ512" s="161"/>
      <c r="BA512" s="161"/>
      <c r="BB512" s="161"/>
      <c r="BC512" s="161"/>
      <c r="BD512" s="161"/>
      <c r="BE512" s="161"/>
      <c r="BF512" s="161"/>
      <c r="BG512" s="161"/>
      <c r="BH512" s="161"/>
      <c r="BI512" s="161"/>
      <c r="BJ512" s="161"/>
      <c r="BK512" s="161"/>
      <c r="BL512" s="161"/>
      <c r="BM512" s="161"/>
      <c r="BN512" s="161"/>
      <c r="BO512" s="161"/>
      <c r="BP512" s="161"/>
      <c r="BQ512" s="161"/>
      <c r="BR512" s="161"/>
      <c r="BS512" s="161"/>
      <c r="BT512" s="161"/>
      <c r="BU512" s="161"/>
    </row>
    <row r="513" spans="15:73" x14ac:dyDescent="0.2"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  <c r="AH513" s="161"/>
      <c r="AI513" s="161"/>
      <c r="AJ513" s="161"/>
      <c r="AK513" s="161"/>
      <c r="AL513" s="161"/>
      <c r="AM513" s="161"/>
      <c r="AN513" s="161"/>
      <c r="AO513" s="161"/>
      <c r="AP513" s="161"/>
      <c r="AQ513" s="161"/>
      <c r="AR513" s="161"/>
      <c r="AS513" s="161"/>
      <c r="AT513" s="161"/>
      <c r="AU513" s="161"/>
      <c r="AV513" s="161"/>
      <c r="AW513" s="161"/>
      <c r="AX513" s="161"/>
      <c r="AY513" s="161"/>
      <c r="AZ513" s="161"/>
      <c r="BA513" s="161"/>
      <c r="BB513" s="161"/>
      <c r="BC513" s="161"/>
      <c r="BD513" s="161"/>
      <c r="BE513" s="161"/>
      <c r="BF513" s="161"/>
      <c r="BG513" s="161"/>
      <c r="BH513" s="161"/>
      <c r="BI513" s="161"/>
      <c r="BJ513" s="161"/>
      <c r="BK513" s="161"/>
      <c r="BL513" s="161"/>
      <c r="BM513" s="161"/>
      <c r="BN513" s="161"/>
      <c r="BO513" s="161"/>
      <c r="BP513" s="161"/>
      <c r="BQ513" s="161"/>
      <c r="BR513" s="161"/>
      <c r="BS513" s="161"/>
      <c r="BT513" s="161"/>
      <c r="BU513" s="161"/>
    </row>
    <row r="514" spans="15:73" x14ac:dyDescent="0.2"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  <c r="AH514" s="161"/>
      <c r="AI514" s="161"/>
      <c r="AJ514" s="161"/>
      <c r="AK514" s="161"/>
      <c r="AL514" s="161"/>
      <c r="AM514" s="161"/>
      <c r="AN514" s="161"/>
      <c r="AO514" s="161"/>
      <c r="AP514" s="161"/>
      <c r="AQ514" s="161"/>
      <c r="AR514" s="161"/>
      <c r="AS514" s="161"/>
      <c r="AT514" s="161"/>
      <c r="AU514" s="161"/>
      <c r="AV514" s="161"/>
      <c r="AW514" s="161"/>
      <c r="AX514" s="161"/>
      <c r="AY514" s="161"/>
      <c r="AZ514" s="161"/>
      <c r="BA514" s="161"/>
      <c r="BB514" s="161"/>
      <c r="BC514" s="161"/>
      <c r="BD514" s="161"/>
      <c r="BE514" s="161"/>
      <c r="BF514" s="161"/>
      <c r="BG514" s="161"/>
      <c r="BH514" s="161"/>
      <c r="BI514" s="161"/>
      <c r="BJ514" s="161"/>
      <c r="BK514" s="161"/>
      <c r="BL514" s="161"/>
      <c r="BM514" s="161"/>
      <c r="BN514" s="161"/>
      <c r="BO514" s="161"/>
      <c r="BP514" s="161"/>
      <c r="BQ514" s="161"/>
      <c r="BR514" s="161"/>
      <c r="BS514" s="161"/>
      <c r="BT514" s="161"/>
      <c r="BU514" s="161"/>
    </row>
    <row r="515" spans="15:73" x14ac:dyDescent="0.2"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  <c r="AH515" s="161"/>
      <c r="AI515" s="161"/>
      <c r="AJ515" s="161"/>
      <c r="AK515" s="161"/>
      <c r="AL515" s="161"/>
      <c r="AM515" s="161"/>
      <c r="AN515" s="161"/>
      <c r="AO515" s="161"/>
      <c r="AP515" s="161"/>
      <c r="AQ515" s="161"/>
      <c r="AR515" s="161"/>
      <c r="AS515" s="161"/>
      <c r="AT515" s="161"/>
      <c r="AU515" s="161"/>
      <c r="AV515" s="161"/>
      <c r="AW515" s="161"/>
      <c r="AX515" s="161"/>
      <c r="AY515" s="161"/>
      <c r="AZ515" s="161"/>
      <c r="BA515" s="161"/>
      <c r="BB515" s="161"/>
      <c r="BC515" s="161"/>
      <c r="BD515" s="161"/>
      <c r="BE515" s="161"/>
      <c r="BF515" s="161"/>
      <c r="BG515" s="161"/>
      <c r="BH515" s="161"/>
      <c r="BI515" s="161"/>
      <c r="BJ515" s="161"/>
      <c r="BK515" s="161"/>
      <c r="BL515" s="161"/>
      <c r="BM515" s="161"/>
      <c r="BN515" s="161"/>
      <c r="BO515" s="161"/>
      <c r="BP515" s="161"/>
      <c r="BQ515" s="161"/>
      <c r="BR515" s="161"/>
      <c r="BS515" s="161"/>
      <c r="BT515" s="161"/>
      <c r="BU515" s="161"/>
    </row>
    <row r="516" spans="15:73" x14ac:dyDescent="0.2"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61"/>
      <c r="AN516" s="161"/>
      <c r="AO516" s="161"/>
      <c r="AP516" s="161"/>
      <c r="AQ516" s="161"/>
      <c r="AR516" s="161"/>
      <c r="AS516" s="161"/>
      <c r="AT516" s="161"/>
      <c r="AU516" s="161"/>
      <c r="AV516" s="161"/>
      <c r="AW516" s="161"/>
      <c r="AX516" s="161"/>
      <c r="AY516" s="161"/>
      <c r="AZ516" s="161"/>
      <c r="BA516" s="161"/>
      <c r="BB516" s="161"/>
      <c r="BC516" s="161"/>
      <c r="BD516" s="161"/>
      <c r="BE516" s="161"/>
      <c r="BF516" s="161"/>
      <c r="BG516" s="161"/>
      <c r="BH516" s="161"/>
      <c r="BI516" s="161"/>
      <c r="BJ516" s="161"/>
      <c r="BK516" s="161"/>
      <c r="BL516" s="161"/>
      <c r="BM516" s="161"/>
      <c r="BN516" s="161"/>
      <c r="BO516" s="161"/>
      <c r="BP516" s="161"/>
      <c r="BQ516" s="161"/>
      <c r="BR516" s="161"/>
      <c r="BS516" s="161"/>
      <c r="BT516" s="161"/>
      <c r="BU516" s="161"/>
    </row>
    <row r="517" spans="15:73" x14ac:dyDescent="0.2"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  <c r="AH517" s="161"/>
      <c r="AI517" s="161"/>
      <c r="AJ517" s="161"/>
      <c r="AK517" s="161"/>
      <c r="AL517" s="161"/>
      <c r="AM517" s="161"/>
      <c r="AN517" s="161"/>
      <c r="AO517" s="161"/>
      <c r="AP517" s="161"/>
      <c r="AQ517" s="161"/>
      <c r="AR517" s="161"/>
      <c r="AS517" s="161"/>
      <c r="AT517" s="161"/>
      <c r="AU517" s="161"/>
      <c r="AV517" s="161"/>
      <c r="AW517" s="161"/>
      <c r="AX517" s="161"/>
      <c r="AY517" s="161"/>
      <c r="AZ517" s="161"/>
      <c r="BA517" s="161"/>
      <c r="BB517" s="161"/>
      <c r="BC517" s="161"/>
      <c r="BD517" s="161"/>
      <c r="BE517" s="161"/>
      <c r="BF517" s="161"/>
      <c r="BG517" s="161"/>
      <c r="BH517" s="161"/>
      <c r="BI517" s="161"/>
      <c r="BJ517" s="161"/>
      <c r="BK517" s="161"/>
      <c r="BL517" s="161"/>
      <c r="BM517" s="161"/>
      <c r="BN517" s="161"/>
      <c r="BO517" s="161"/>
      <c r="BP517" s="161"/>
      <c r="BQ517" s="161"/>
      <c r="BR517" s="161"/>
      <c r="BS517" s="161"/>
      <c r="BT517" s="161"/>
      <c r="BU517" s="161"/>
    </row>
    <row r="518" spans="15:73" x14ac:dyDescent="0.2"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  <c r="AH518" s="161"/>
      <c r="AI518" s="161"/>
      <c r="AJ518" s="161"/>
      <c r="AK518" s="161"/>
      <c r="AL518" s="161"/>
      <c r="AM518" s="161"/>
      <c r="AN518" s="161"/>
      <c r="AO518" s="161"/>
      <c r="AP518" s="161"/>
      <c r="AQ518" s="161"/>
      <c r="AR518" s="161"/>
      <c r="AS518" s="161"/>
      <c r="AT518" s="161"/>
      <c r="AU518" s="161"/>
      <c r="AV518" s="161"/>
      <c r="AW518" s="161"/>
      <c r="AX518" s="161"/>
      <c r="AY518" s="161"/>
      <c r="AZ518" s="161"/>
      <c r="BA518" s="161"/>
      <c r="BB518" s="161"/>
      <c r="BC518" s="161"/>
      <c r="BD518" s="161"/>
      <c r="BE518" s="161"/>
      <c r="BF518" s="161"/>
      <c r="BG518" s="161"/>
      <c r="BH518" s="161"/>
      <c r="BI518" s="161"/>
      <c r="BJ518" s="161"/>
      <c r="BK518" s="161"/>
      <c r="BL518" s="161"/>
      <c r="BM518" s="161"/>
      <c r="BN518" s="161"/>
      <c r="BO518" s="161"/>
      <c r="BP518" s="161"/>
      <c r="BQ518" s="161"/>
      <c r="BR518" s="161"/>
      <c r="BS518" s="161"/>
      <c r="BT518" s="161"/>
      <c r="BU518" s="161"/>
    </row>
    <row r="519" spans="15:73" x14ac:dyDescent="0.2"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  <c r="AH519" s="161"/>
      <c r="AI519" s="161"/>
      <c r="AJ519" s="161"/>
      <c r="AK519" s="161"/>
      <c r="AL519" s="161"/>
      <c r="AM519" s="161"/>
      <c r="AN519" s="161"/>
      <c r="AO519" s="161"/>
      <c r="AP519" s="161"/>
      <c r="AQ519" s="161"/>
      <c r="AR519" s="161"/>
      <c r="AS519" s="161"/>
      <c r="AT519" s="161"/>
      <c r="AU519" s="161"/>
      <c r="AV519" s="161"/>
      <c r="AW519" s="161"/>
      <c r="AX519" s="161"/>
      <c r="AY519" s="161"/>
      <c r="AZ519" s="161"/>
      <c r="BA519" s="161"/>
      <c r="BB519" s="161"/>
      <c r="BC519" s="161"/>
      <c r="BD519" s="161"/>
      <c r="BE519" s="161"/>
      <c r="BF519" s="161"/>
      <c r="BG519" s="161"/>
      <c r="BH519" s="161"/>
      <c r="BI519" s="161"/>
      <c r="BJ519" s="161"/>
      <c r="BK519" s="161"/>
      <c r="BL519" s="161"/>
      <c r="BM519" s="161"/>
      <c r="BN519" s="161"/>
      <c r="BO519" s="161"/>
      <c r="BP519" s="161"/>
      <c r="BQ519" s="161"/>
      <c r="BR519" s="161"/>
      <c r="BS519" s="161"/>
      <c r="BT519" s="161"/>
      <c r="BU519" s="161"/>
    </row>
    <row r="520" spans="15:73" x14ac:dyDescent="0.2"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  <c r="AH520" s="161"/>
      <c r="AI520" s="161"/>
      <c r="AJ520" s="161"/>
      <c r="AK520" s="161"/>
      <c r="AL520" s="161"/>
      <c r="AM520" s="161"/>
      <c r="AN520" s="161"/>
      <c r="AO520" s="161"/>
      <c r="AP520" s="161"/>
      <c r="AQ520" s="161"/>
      <c r="AR520" s="161"/>
      <c r="AS520" s="161"/>
      <c r="AT520" s="161"/>
      <c r="AU520" s="161"/>
      <c r="AV520" s="161"/>
      <c r="AW520" s="161"/>
      <c r="AX520" s="161"/>
      <c r="AY520" s="161"/>
      <c r="AZ520" s="161"/>
      <c r="BA520" s="161"/>
      <c r="BB520" s="161"/>
      <c r="BC520" s="161"/>
      <c r="BD520" s="161"/>
      <c r="BE520" s="161"/>
      <c r="BF520" s="161"/>
      <c r="BG520" s="161"/>
      <c r="BH520" s="161"/>
      <c r="BI520" s="161"/>
      <c r="BJ520" s="161"/>
      <c r="BK520" s="161"/>
      <c r="BL520" s="161"/>
      <c r="BM520" s="161"/>
      <c r="BN520" s="161"/>
      <c r="BO520" s="161"/>
      <c r="BP520" s="161"/>
      <c r="BQ520" s="161"/>
      <c r="BR520" s="161"/>
      <c r="BS520" s="161"/>
      <c r="BT520" s="161"/>
      <c r="BU520" s="161"/>
    </row>
    <row r="521" spans="15:73" x14ac:dyDescent="0.2"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  <c r="AH521" s="161"/>
      <c r="AI521" s="161"/>
      <c r="AJ521" s="161"/>
      <c r="AK521" s="161"/>
      <c r="AL521" s="161"/>
      <c r="AM521" s="161"/>
      <c r="AN521" s="161"/>
      <c r="AO521" s="161"/>
      <c r="AP521" s="161"/>
      <c r="AQ521" s="161"/>
      <c r="AR521" s="161"/>
      <c r="AS521" s="161"/>
      <c r="AT521" s="161"/>
      <c r="AU521" s="161"/>
      <c r="AV521" s="161"/>
      <c r="AW521" s="161"/>
      <c r="AX521" s="161"/>
      <c r="AY521" s="161"/>
      <c r="AZ521" s="161"/>
      <c r="BA521" s="161"/>
      <c r="BB521" s="161"/>
      <c r="BC521" s="161"/>
      <c r="BD521" s="161"/>
      <c r="BE521" s="161"/>
      <c r="BF521" s="161"/>
      <c r="BG521" s="161"/>
      <c r="BH521" s="161"/>
      <c r="BI521" s="161"/>
      <c r="BJ521" s="161"/>
      <c r="BK521" s="161"/>
      <c r="BL521" s="161"/>
      <c r="BM521" s="161"/>
      <c r="BN521" s="161"/>
      <c r="BO521" s="161"/>
      <c r="BP521" s="161"/>
      <c r="BQ521" s="161"/>
      <c r="BR521" s="161"/>
      <c r="BS521" s="161"/>
      <c r="BT521" s="161"/>
      <c r="BU521" s="161"/>
    </row>
    <row r="522" spans="15:73" x14ac:dyDescent="0.2"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  <c r="AH522" s="161"/>
      <c r="AI522" s="161"/>
      <c r="AJ522" s="161"/>
      <c r="AK522" s="161"/>
      <c r="AL522" s="161"/>
      <c r="AM522" s="161"/>
      <c r="AN522" s="161"/>
      <c r="AO522" s="161"/>
      <c r="AP522" s="161"/>
      <c r="AQ522" s="161"/>
      <c r="AR522" s="161"/>
      <c r="AS522" s="161"/>
      <c r="AT522" s="161"/>
      <c r="AU522" s="161"/>
      <c r="AV522" s="161"/>
      <c r="AW522" s="161"/>
      <c r="AX522" s="161"/>
      <c r="AY522" s="161"/>
      <c r="AZ522" s="161"/>
      <c r="BA522" s="161"/>
      <c r="BB522" s="161"/>
      <c r="BC522" s="161"/>
      <c r="BD522" s="161"/>
      <c r="BE522" s="161"/>
      <c r="BF522" s="161"/>
      <c r="BG522" s="161"/>
      <c r="BH522" s="161"/>
      <c r="BI522" s="161"/>
      <c r="BJ522" s="161"/>
      <c r="BK522" s="161"/>
      <c r="BL522" s="161"/>
      <c r="BM522" s="161"/>
      <c r="BN522" s="161"/>
      <c r="BO522" s="161"/>
      <c r="BP522" s="161"/>
      <c r="BQ522" s="161"/>
      <c r="BR522" s="161"/>
      <c r="BS522" s="161"/>
      <c r="BT522" s="161"/>
      <c r="BU522" s="161"/>
    </row>
    <row r="523" spans="15:73" x14ac:dyDescent="0.2"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  <c r="AH523" s="161"/>
      <c r="AI523" s="161"/>
      <c r="AJ523" s="161"/>
      <c r="AK523" s="161"/>
      <c r="AL523" s="161"/>
      <c r="AM523" s="161"/>
      <c r="AN523" s="161"/>
      <c r="AO523" s="161"/>
      <c r="AP523" s="161"/>
      <c r="AQ523" s="161"/>
      <c r="AR523" s="161"/>
      <c r="AS523" s="161"/>
      <c r="AT523" s="161"/>
      <c r="AU523" s="161"/>
      <c r="AV523" s="161"/>
      <c r="AW523" s="161"/>
      <c r="AX523" s="161"/>
      <c r="AY523" s="161"/>
      <c r="AZ523" s="161"/>
      <c r="BA523" s="161"/>
      <c r="BB523" s="161"/>
      <c r="BC523" s="161"/>
      <c r="BD523" s="161"/>
      <c r="BE523" s="161"/>
      <c r="BF523" s="161"/>
      <c r="BG523" s="161"/>
      <c r="BH523" s="161"/>
      <c r="BI523" s="161"/>
      <c r="BJ523" s="161"/>
      <c r="BK523" s="161"/>
      <c r="BL523" s="161"/>
      <c r="BM523" s="161"/>
      <c r="BN523" s="161"/>
      <c r="BO523" s="161"/>
      <c r="BP523" s="161"/>
      <c r="BQ523" s="161"/>
      <c r="BR523" s="161"/>
      <c r="BS523" s="161"/>
      <c r="BT523" s="161"/>
      <c r="BU523" s="161"/>
    </row>
    <row r="524" spans="15:73" x14ac:dyDescent="0.2"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  <c r="AH524" s="161"/>
      <c r="AI524" s="161"/>
      <c r="AJ524" s="161"/>
      <c r="AK524" s="161"/>
      <c r="AL524" s="161"/>
      <c r="AM524" s="161"/>
      <c r="AN524" s="161"/>
      <c r="AO524" s="161"/>
      <c r="AP524" s="161"/>
      <c r="AQ524" s="161"/>
      <c r="AR524" s="161"/>
      <c r="AS524" s="161"/>
      <c r="AT524" s="161"/>
      <c r="AU524" s="161"/>
      <c r="AV524" s="161"/>
      <c r="AW524" s="161"/>
      <c r="AX524" s="161"/>
      <c r="AY524" s="161"/>
      <c r="AZ524" s="161"/>
      <c r="BA524" s="161"/>
      <c r="BB524" s="161"/>
      <c r="BC524" s="161"/>
      <c r="BD524" s="161"/>
      <c r="BE524" s="161"/>
      <c r="BF524" s="161"/>
      <c r="BG524" s="161"/>
      <c r="BH524" s="161"/>
      <c r="BI524" s="161"/>
      <c r="BJ524" s="161"/>
      <c r="BK524" s="161"/>
      <c r="BL524" s="161"/>
      <c r="BM524" s="161"/>
      <c r="BN524" s="161"/>
      <c r="BO524" s="161"/>
      <c r="BP524" s="161"/>
      <c r="BQ524" s="161"/>
      <c r="BR524" s="161"/>
      <c r="BS524" s="161"/>
      <c r="BT524" s="161"/>
      <c r="BU524" s="161"/>
    </row>
    <row r="525" spans="15:73" x14ac:dyDescent="0.2"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  <c r="AH525" s="161"/>
      <c r="AI525" s="161"/>
      <c r="AJ525" s="161"/>
      <c r="AK525" s="161"/>
      <c r="AL525" s="161"/>
      <c r="AM525" s="161"/>
      <c r="AN525" s="161"/>
      <c r="AO525" s="161"/>
      <c r="AP525" s="161"/>
      <c r="AQ525" s="161"/>
      <c r="AR525" s="161"/>
      <c r="AS525" s="161"/>
      <c r="AT525" s="161"/>
      <c r="AU525" s="161"/>
      <c r="AV525" s="161"/>
      <c r="AW525" s="161"/>
      <c r="AX525" s="161"/>
      <c r="AY525" s="161"/>
      <c r="AZ525" s="161"/>
      <c r="BA525" s="161"/>
      <c r="BB525" s="161"/>
      <c r="BC525" s="161"/>
      <c r="BD525" s="161"/>
      <c r="BE525" s="161"/>
      <c r="BF525" s="161"/>
      <c r="BG525" s="161"/>
      <c r="BH525" s="161"/>
      <c r="BI525" s="161"/>
      <c r="BJ525" s="161"/>
      <c r="BK525" s="161"/>
      <c r="BL525" s="161"/>
      <c r="BM525" s="161"/>
      <c r="BN525" s="161"/>
      <c r="BO525" s="161"/>
      <c r="BP525" s="161"/>
      <c r="BQ525" s="161"/>
      <c r="BR525" s="161"/>
      <c r="BS525" s="161"/>
      <c r="BT525" s="161"/>
      <c r="BU525" s="161"/>
    </row>
    <row r="526" spans="15:73" x14ac:dyDescent="0.2"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  <c r="AH526" s="161"/>
      <c r="AI526" s="161"/>
      <c r="AJ526" s="161"/>
      <c r="AK526" s="161"/>
      <c r="AL526" s="161"/>
      <c r="AM526" s="161"/>
      <c r="AN526" s="161"/>
      <c r="AO526" s="161"/>
      <c r="AP526" s="161"/>
      <c r="AQ526" s="161"/>
      <c r="AR526" s="161"/>
      <c r="AS526" s="161"/>
      <c r="AT526" s="161"/>
      <c r="AU526" s="161"/>
      <c r="AV526" s="161"/>
      <c r="AW526" s="161"/>
      <c r="AX526" s="161"/>
      <c r="AY526" s="161"/>
      <c r="AZ526" s="161"/>
      <c r="BA526" s="161"/>
      <c r="BB526" s="161"/>
      <c r="BC526" s="161"/>
      <c r="BD526" s="161"/>
      <c r="BE526" s="161"/>
      <c r="BF526" s="161"/>
      <c r="BG526" s="161"/>
      <c r="BH526" s="161"/>
      <c r="BI526" s="161"/>
      <c r="BJ526" s="161"/>
      <c r="BK526" s="161"/>
      <c r="BL526" s="161"/>
      <c r="BM526" s="161"/>
      <c r="BN526" s="161"/>
      <c r="BO526" s="161"/>
      <c r="BP526" s="161"/>
      <c r="BQ526" s="161"/>
      <c r="BR526" s="161"/>
      <c r="BS526" s="161"/>
      <c r="BT526" s="161"/>
      <c r="BU526" s="161"/>
    </row>
    <row r="527" spans="15:73" x14ac:dyDescent="0.2"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  <c r="AH527" s="161"/>
      <c r="AI527" s="161"/>
      <c r="AJ527" s="161"/>
      <c r="AK527" s="161"/>
      <c r="AL527" s="161"/>
      <c r="AM527" s="161"/>
      <c r="AN527" s="161"/>
      <c r="AO527" s="161"/>
      <c r="AP527" s="161"/>
      <c r="AQ527" s="161"/>
      <c r="AR527" s="161"/>
      <c r="AS527" s="161"/>
      <c r="AT527" s="161"/>
      <c r="AU527" s="161"/>
      <c r="AV527" s="161"/>
      <c r="AW527" s="161"/>
      <c r="AX527" s="161"/>
      <c r="AY527" s="161"/>
      <c r="AZ527" s="161"/>
      <c r="BA527" s="161"/>
      <c r="BB527" s="161"/>
      <c r="BC527" s="161"/>
      <c r="BD527" s="161"/>
      <c r="BE527" s="161"/>
      <c r="BF527" s="161"/>
      <c r="BG527" s="161"/>
      <c r="BH527" s="161"/>
      <c r="BI527" s="161"/>
      <c r="BJ527" s="161"/>
      <c r="BK527" s="161"/>
      <c r="BL527" s="161"/>
      <c r="BM527" s="161"/>
      <c r="BN527" s="161"/>
      <c r="BO527" s="161"/>
      <c r="BP527" s="161"/>
      <c r="BQ527" s="161"/>
      <c r="BR527" s="161"/>
      <c r="BS527" s="161"/>
      <c r="BT527" s="161"/>
      <c r="BU527" s="161"/>
    </row>
    <row r="528" spans="15:73" x14ac:dyDescent="0.2"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  <c r="AH528" s="161"/>
      <c r="AI528" s="161"/>
      <c r="AJ528" s="161"/>
      <c r="AK528" s="161"/>
      <c r="AL528" s="161"/>
      <c r="AM528" s="161"/>
      <c r="AN528" s="161"/>
      <c r="AO528" s="161"/>
      <c r="AP528" s="161"/>
      <c r="AQ528" s="161"/>
      <c r="AR528" s="161"/>
      <c r="AS528" s="161"/>
      <c r="AT528" s="161"/>
      <c r="AU528" s="161"/>
      <c r="AV528" s="161"/>
      <c r="AW528" s="161"/>
      <c r="AX528" s="161"/>
      <c r="AY528" s="161"/>
      <c r="AZ528" s="161"/>
      <c r="BA528" s="161"/>
      <c r="BB528" s="161"/>
      <c r="BC528" s="161"/>
      <c r="BD528" s="161"/>
      <c r="BE528" s="161"/>
      <c r="BF528" s="161"/>
      <c r="BG528" s="161"/>
      <c r="BH528" s="161"/>
      <c r="BI528" s="161"/>
      <c r="BJ528" s="161"/>
      <c r="BK528" s="161"/>
      <c r="BL528" s="161"/>
      <c r="BM528" s="161"/>
      <c r="BN528" s="161"/>
      <c r="BO528" s="161"/>
      <c r="BP528" s="161"/>
      <c r="BQ528" s="161"/>
      <c r="BR528" s="161"/>
      <c r="BS528" s="161"/>
      <c r="BT528" s="161"/>
      <c r="BU528" s="161"/>
    </row>
    <row r="529" spans="15:73" x14ac:dyDescent="0.2"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  <c r="AH529" s="161"/>
      <c r="AI529" s="161"/>
      <c r="AJ529" s="161"/>
      <c r="AK529" s="161"/>
      <c r="AL529" s="161"/>
      <c r="AM529" s="161"/>
      <c r="AN529" s="161"/>
      <c r="AO529" s="161"/>
      <c r="AP529" s="161"/>
      <c r="AQ529" s="161"/>
      <c r="AR529" s="161"/>
      <c r="AS529" s="161"/>
      <c r="AT529" s="161"/>
      <c r="AU529" s="161"/>
      <c r="AV529" s="161"/>
      <c r="AW529" s="161"/>
      <c r="AX529" s="161"/>
      <c r="AY529" s="161"/>
      <c r="AZ529" s="161"/>
      <c r="BA529" s="161"/>
      <c r="BB529" s="161"/>
      <c r="BC529" s="161"/>
      <c r="BD529" s="161"/>
      <c r="BE529" s="161"/>
      <c r="BF529" s="161"/>
      <c r="BG529" s="161"/>
      <c r="BH529" s="161"/>
      <c r="BI529" s="161"/>
      <c r="BJ529" s="161"/>
      <c r="BK529" s="161"/>
      <c r="BL529" s="161"/>
      <c r="BM529" s="161"/>
      <c r="BN529" s="161"/>
      <c r="BO529" s="161"/>
      <c r="BP529" s="161"/>
      <c r="BQ529" s="161"/>
      <c r="BR529" s="161"/>
      <c r="BS529" s="161"/>
      <c r="BT529" s="161"/>
      <c r="BU529" s="161"/>
    </row>
    <row r="530" spans="15:73" x14ac:dyDescent="0.2"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  <c r="AH530" s="161"/>
      <c r="AI530" s="161"/>
      <c r="AJ530" s="161"/>
      <c r="AK530" s="161"/>
      <c r="AL530" s="161"/>
      <c r="AM530" s="161"/>
      <c r="AN530" s="161"/>
      <c r="AO530" s="161"/>
      <c r="AP530" s="161"/>
      <c r="AQ530" s="161"/>
      <c r="AR530" s="161"/>
      <c r="AS530" s="161"/>
      <c r="AT530" s="161"/>
      <c r="AU530" s="161"/>
      <c r="AV530" s="161"/>
      <c r="AW530" s="161"/>
      <c r="AX530" s="161"/>
      <c r="AY530" s="161"/>
      <c r="AZ530" s="161"/>
      <c r="BA530" s="161"/>
      <c r="BB530" s="161"/>
      <c r="BC530" s="161"/>
      <c r="BD530" s="161"/>
      <c r="BE530" s="161"/>
      <c r="BF530" s="161"/>
      <c r="BG530" s="161"/>
      <c r="BH530" s="161"/>
      <c r="BI530" s="161"/>
      <c r="BJ530" s="161"/>
      <c r="BK530" s="161"/>
      <c r="BL530" s="161"/>
      <c r="BM530" s="161"/>
      <c r="BN530" s="161"/>
      <c r="BO530" s="161"/>
      <c r="BP530" s="161"/>
      <c r="BQ530" s="161"/>
      <c r="BR530" s="161"/>
      <c r="BS530" s="161"/>
      <c r="BT530" s="161"/>
      <c r="BU530" s="161"/>
    </row>
    <row r="531" spans="15:73" x14ac:dyDescent="0.2"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  <c r="AH531" s="161"/>
      <c r="AI531" s="161"/>
      <c r="AJ531" s="161"/>
      <c r="AK531" s="161"/>
      <c r="AL531" s="161"/>
      <c r="AM531" s="161"/>
      <c r="AN531" s="161"/>
      <c r="AO531" s="161"/>
      <c r="AP531" s="161"/>
      <c r="AQ531" s="161"/>
      <c r="AR531" s="161"/>
      <c r="AS531" s="161"/>
      <c r="AT531" s="161"/>
      <c r="AU531" s="161"/>
      <c r="AV531" s="161"/>
      <c r="AW531" s="161"/>
      <c r="AX531" s="161"/>
      <c r="AY531" s="161"/>
      <c r="AZ531" s="161"/>
      <c r="BA531" s="161"/>
      <c r="BB531" s="161"/>
      <c r="BC531" s="161"/>
      <c r="BD531" s="161"/>
      <c r="BE531" s="161"/>
      <c r="BF531" s="161"/>
      <c r="BG531" s="161"/>
      <c r="BH531" s="161"/>
      <c r="BI531" s="161"/>
      <c r="BJ531" s="161"/>
      <c r="BK531" s="161"/>
      <c r="BL531" s="161"/>
      <c r="BM531" s="161"/>
      <c r="BN531" s="161"/>
      <c r="BO531" s="161"/>
      <c r="BP531" s="161"/>
      <c r="BQ531" s="161"/>
      <c r="BR531" s="161"/>
      <c r="BS531" s="161"/>
      <c r="BT531" s="161"/>
      <c r="BU531" s="161"/>
    </row>
    <row r="532" spans="15:73" x14ac:dyDescent="0.2"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  <c r="AH532" s="161"/>
      <c r="AI532" s="161"/>
      <c r="AJ532" s="161"/>
      <c r="AK532" s="161"/>
      <c r="AL532" s="161"/>
      <c r="AM532" s="161"/>
      <c r="AN532" s="161"/>
      <c r="AO532" s="161"/>
      <c r="AP532" s="161"/>
      <c r="AQ532" s="161"/>
      <c r="AR532" s="161"/>
      <c r="AS532" s="161"/>
      <c r="AT532" s="161"/>
      <c r="AU532" s="161"/>
      <c r="AV532" s="161"/>
      <c r="AW532" s="161"/>
      <c r="AX532" s="161"/>
      <c r="AY532" s="161"/>
      <c r="AZ532" s="161"/>
      <c r="BA532" s="161"/>
      <c r="BB532" s="161"/>
      <c r="BC532" s="161"/>
      <c r="BD532" s="161"/>
      <c r="BE532" s="161"/>
      <c r="BF532" s="161"/>
      <c r="BG532" s="161"/>
      <c r="BH532" s="161"/>
      <c r="BI532" s="161"/>
      <c r="BJ532" s="161"/>
      <c r="BK532" s="161"/>
      <c r="BL532" s="161"/>
      <c r="BM532" s="161"/>
      <c r="BN532" s="161"/>
      <c r="BO532" s="161"/>
      <c r="BP532" s="161"/>
      <c r="BQ532" s="161"/>
      <c r="BR532" s="161"/>
      <c r="BS532" s="161"/>
      <c r="BT532" s="161"/>
      <c r="BU532" s="161"/>
    </row>
    <row r="533" spans="15:73" x14ac:dyDescent="0.2"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  <c r="AH533" s="161"/>
      <c r="AI533" s="161"/>
      <c r="AJ533" s="161"/>
      <c r="AK533" s="161"/>
      <c r="AL533" s="161"/>
      <c r="AM533" s="161"/>
      <c r="AN533" s="161"/>
      <c r="AO533" s="161"/>
      <c r="AP533" s="161"/>
      <c r="AQ533" s="161"/>
      <c r="AR533" s="161"/>
      <c r="AS533" s="161"/>
      <c r="AT533" s="161"/>
      <c r="AU533" s="161"/>
      <c r="AV533" s="161"/>
      <c r="AW533" s="161"/>
      <c r="AX533" s="161"/>
      <c r="AY533" s="161"/>
      <c r="AZ533" s="161"/>
      <c r="BA533" s="161"/>
      <c r="BB533" s="161"/>
      <c r="BC533" s="161"/>
      <c r="BD533" s="161"/>
      <c r="BE533" s="161"/>
      <c r="BF533" s="161"/>
      <c r="BG533" s="161"/>
      <c r="BH533" s="161"/>
      <c r="BI533" s="161"/>
      <c r="BJ533" s="161"/>
      <c r="BK533" s="161"/>
      <c r="BL533" s="161"/>
      <c r="BM533" s="161"/>
      <c r="BN533" s="161"/>
      <c r="BO533" s="161"/>
      <c r="BP533" s="161"/>
      <c r="BQ533" s="161"/>
      <c r="BR533" s="161"/>
      <c r="BS533" s="161"/>
      <c r="BT533" s="161"/>
      <c r="BU533" s="161"/>
    </row>
  </sheetData>
  <dataConsolidate link="1"/>
  <phoneticPr fontId="12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33"/>
  <sheetViews>
    <sheetView showGridLines="0" zoomScale="70" zoomScaleNormal="70" workbookViewId="0"/>
  </sheetViews>
  <sheetFormatPr defaultColWidth="9.140625" defaultRowHeight="12.75" x14ac:dyDescent="0.2"/>
  <cols>
    <col min="1" max="1" width="16" style="18" customWidth="1"/>
    <col min="2" max="2" width="12.28515625" style="18" bestFit="1" customWidth="1"/>
    <col min="3" max="3" width="11.7109375" style="18" bestFit="1" customWidth="1"/>
    <col min="4" max="4" width="8.7109375" style="18" bestFit="1" customWidth="1"/>
    <col min="5" max="5" width="11.5703125" style="18" bestFit="1" customWidth="1"/>
    <col min="6" max="6" width="1.7109375" style="18" customWidth="1"/>
    <col min="7" max="9" width="11.5703125" style="18" bestFit="1" customWidth="1"/>
    <col min="10" max="10" width="10.7109375" style="18" customWidth="1"/>
    <col min="11" max="16384" width="9.140625" style="18"/>
  </cols>
  <sheetData>
    <row r="1" spans="1:10" ht="14.25" x14ac:dyDescent="0.2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x14ac:dyDescent="0.2">
      <c r="A2" s="19"/>
      <c r="B2" s="162" t="s">
        <v>59</v>
      </c>
      <c r="C2" s="162"/>
      <c r="D2" s="162"/>
      <c r="E2" s="162"/>
      <c r="F2" s="23"/>
      <c r="G2" s="162" t="s">
        <v>60</v>
      </c>
      <c r="H2" s="162"/>
      <c r="I2" s="162"/>
      <c r="J2" s="19"/>
    </row>
    <row r="3" spans="1:10" ht="14.25" x14ac:dyDescent="0.2">
      <c r="A3" s="19" t="s">
        <v>16</v>
      </c>
      <c r="B3" s="21" t="s">
        <v>19</v>
      </c>
      <c r="C3" s="25"/>
      <c r="D3" s="25"/>
      <c r="E3" s="25"/>
      <c r="F3" s="25"/>
      <c r="G3" s="25"/>
      <c r="H3" s="25"/>
      <c r="I3" s="25"/>
      <c r="J3" s="21" t="s">
        <v>61</v>
      </c>
    </row>
    <row r="4" spans="1:10" ht="14.25" x14ac:dyDescent="0.2">
      <c r="A4" s="26" t="s">
        <v>62</v>
      </c>
      <c r="B4" s="28" t="s">
        <v>63</v>
      </c>
      <c r="C4" s="28" t="s">
        <v>25</v>
      </c>
      <c r="D4" s="28" t="s">
        <v>26</v>
      </c>
      <c r="E4" s="30" t="s">
        <v>64</v>
      </c>
      <c r="F4" s="29"/>
      <c r="G4" s="28" t="s">
        <v>65</v>
      </c>
      <c r="H4" s="28" t="s">
        <v>66</v>
      </c>
      <c r="I4" s="28" t="s">
        <v>64</v>
      </c>
      <c r="J4" s="28" t="s">
        <v>67</v>
      </c>
    </row>
    <row r="5" spans="1:10" ht="14.25" x14ac:dyDescent="0.2">
      <c r="A5" s="19"/>
      <c r="B5" s="163" t="s">
        <v>68</v>
      </c>
      <c r="C5" s="163"/>
      <c r="D5" s="163"/>
      <c r="E5" s="163"/>
      <c r="F5" s="163"/>
      <c r="G5" s="163"/>
      <c r="H5" s="163"/>
      <c r="I5" s="163"/>
      <c r="J5" s="163"/>
    </row>
    <row r="6" spans="1:10" ht="14.25" x14ac:dyDescent="0.2">
      <c r="A6" s="19" t="s">
        <v>33</v>
      </c>
      <c r="B6" s="52">
        <v>402.01499999999999</v>
      </c>
      <c r="C6" s="53">
        <v>51100.43</v>
      </c>
      <c r="D6" s="53">
        <v>639.45289700599983</v>
      </c>
      <c r="E6" s="37">
        <v>52141.897897005998</v>
      </c>
      <c r="F6" s="53"/>
      <c r="G6" s="53">
        <v>37966.877728954991</v>
      </c>
      <c r="H6" s="53">
        <v>13833.684168051001</v>
      </c>
      <c r="I6" s="53">
        <v>51800.561897005995</v>
      </c>
      <c r="J6" s="53">
        <v>341.33600000000001</v>
      </c>
    </row>
    <row r="7" spans="1:10" ht="16.5" x14ac:dyDescent="0.2">
      <c r="A7" s="19" t="s">
        <v>34</v>
      </c>
      <c r="B7" s="52">
        <f>J6</f>
        <v>341.33600000000001</v>
      </c>
      <c r="C7" s="53">
        <f>C23</f>
        <v>50564.714999999989</v>
      </c>
      <c r="D7" s="53">
        <f>D23</f>
        <v>782.87279764099992</v>
      </c>
      <c r="E7" s="37">
        <f>E23</f>
        <v>51688.923797640993</v>
      </c>
      <c r="F7" s="53"/>
      <c r="G7" s="53">
        <f>G23</f>
        <v>37580.430300251006</v>
      </c>
      <c r="H7" s="53">
        <f>H23</f>
        <v>13767.707497390002</v>
      </c>
      <c r="I7" s="53">
        <f>I23</f>
        <v>51348.137797641</v>
      </c>
      <c r="J7" s="53">
        <f>J22</f>
        <v>340.786</v>
      </c>
    </row>
    <row r="8" spans="1:10" ht="16.5" x14ac:dyDescent="0.2">
      <c r="A8" s="19" t="s">
        <v>35</v>
      </c>
      <c r="B8" s="52">
        <f>J7</f>
        <v>340.786</v>
      </c>
      <c r="C8" s="53">
        <v>51709.214</v>
      </c>
      <c r="D8" s="53">
        <v>450</v>
      </c>
      <c r="E8" s="37">
        <f>SUM(B8:D8)</f>
        <v>52500</v>
      </c>
      <c r="F8" s="53"/>
      <c r="G8" s="53">
        <f>I8-H8</f>
        <v>37900</v>
      </c>
      <c r="H8" s="53">
        <v>14200</v>
      </c>
      <c r="I8" s="53">
        <f>E8-J8</f>
        <v>52100</v>
      </c>
      <c r="J8" s="53">
        <v>400</v>
      </c>
    </row>
    <row r="9" spans="1:10" ht="14.25" x14ac:dyDescent="0.2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0" ht="15" x14ac:dyDescent="0.25">
      <c r="A10" s="55" t="s">
        <v>37</v>
      </c>
      <c r="B10" s="56"/>
      <c r="C10" s="7"/>
      <c r="D10" s="7"/>
      <c r="E10" s="7"/>
      <c r="F10" s="7"/>
      <c r="G10" s="7"/>
      <c r="H10" s="7"/>
      <c r="I10" s="7"/>
      <c r="J10" s="7"/>
    </row>
    <row r="11" spans="1:10" ht="14.25" x14ac:dyDescent="0.2">
      <c r="A11" s="23" t="s">
        <v>39</v>
      </c>
      <c r="B11" s="56">
        <v>341.33600000000001</v>
      </c>
      <c r="C11" s="7">
        <v>4615.5919999999996</v>
      </c>
      <c r="D11" s="7">
        <f>(63180.5*1.10231)/1000</f>
        <v>69.644496954999994</v>
      </c>
      <c r="E11" s="7">
        <f t="shared" ref="E11:E17" si="0">SUM(B11:D11)</f>
        <v>5026.5724969550001</v>
      </c>
      <c r="F11" s="6"/>
      <c r="G11" s="5">
        <f t="shared" ref="G11:G17" si="1">I11-H11</f>
        <v>3543.9302441150003</v>
      </c>
      <c r="H11" s="7">
        <f>(1005564*1.10231)/1000</f>
        <v>1108.44325284</v>
      </c>
      <c r="I11" s="6">
        <f t="shared" ref="I11:I17" si="2">E11-J11</f>
        <v>4652.3734969550005</v>
      </c>
      <c r="J11" s="6">
        <v>374.19900000000001</v>
      </c>
    </row>
    <row r="12" spans="1:10" ht="14.25" x14ac:dyDescent="0.2">
      <c r="A12" s="23" t="s">
        <v>40</v>
      </c>
      <c r="B12" s="56">
        <f t="shared" ref="B12:B17" si="3">J11</f>
        <v>374.19900000000001</v>
      </c>
      <c r="C12" s="7">
        <v>4516.2939999999999</v>
      </c>
      <c r="D12" s="7">
        <f>(61205.6*1.10231)/1000</f>
        <v>67.467544935999996</v>
      </c>
      <c r="E12" s="7">
        <f t="shared" si="0"/>
        <v>4957.9605449359997</v>
      </c>
      <c r="F12" s="6"/>
      <c r="G12" s="5">
        <f t="shared" si="1"/>
        <v>3223.2103220019999</v>
      </c>
      <c r="H12" s="7">
        <f>(1157871.4*1.10231)/1000</f>
        <v>1276.3332229339997</v>
      </c>
      <c r="I12" s="6">
        <f t="shared" si="2"/>
        <v>4499.5435449359993</v>
      </c>
      <c r="J12" s="6">
        <v>458.41699999999997</v>
      </c>
    </row>
    <row r="13" spans="1:10" ht="14.25" x14ac:dyDescent="0.2">
      <c r="A13" s="23" t="s">
        <v>42</v>
      </c>
      <c r="B13" s="56">
        <f t="shared" si="3"/>
        <v>458.41699999999997</v>
      </c>
      <c r="C13" s="7">
        <v>4540.9309999999996</v>
      </c>
      <c r="D13" s="7">
        <f>(58666.4*1.10231)/1000</f>
        <v>64.668559383999991</v>
      </c>
      <c r="E13" s="7">
        <f t="shared" si="0"/>
        <v>5064.0165593840002</v>
      </c>
      <c r="F13" s="6"/>
      <c r="G13" s="5">
        <f t="shared" si="1"/>
        <v>3257.6761174220001</v>
      </c>
      <c r="H13" s="7">
        <f>(1312650.2*1.10231)/1000</f>
        <v>1446.9474419619999</v>
      </c>
      <c r="I13" s="6">
        <f t="shared" si="2"/>
        <v>4704.6235593840001</v>
      </c>
      <c r="J13" s="6">
        <v>359.39299999999997</v>
      </c>
    </row>
    <row r="14" spans="1:10" ht="14.25" x14ac:dyDescent="0.2">
      <c r="A14" s="23" t="s">
        <v>43</v>
      </c>
      <c r="B14" s="56">
        <f t="shared" si="3"/>
        <v>359.39299999999997</v>
      </c>
      <c r="C14" s="7">
        <v>4665.652</v>
      </c>
      <c r="D14" s="7">
        <f>(62004.8*1.10231)/1000</f>
        <v>68.348511087999995</v>
      </c>
      <c r="E14" s="7">
        <f t="shared" si="0"/>
        <v>5093.3935110880002</v>
      </c>
      <c r="F14" s="6"/>
      <c r="G14" s="5">
        <f t="shared" si="1"/>
        <v>3080.2815676670002</v>
      </c>
      <c r="H14" s="7">
        <f>(1322049.1*1.10231)/1000</f>
        <v>1457.3079434209999</v>
      </c>
      <c r="I14" s="6">
        <f t="shared" si="2"/>
        <v>4537.5895110880001</v>
      </c>
      <c r="J14" s="6">
        <v>555.80399999999997</v>
      </c>
    </row>
    <row r="15" spans="1:10" ht="14.25" x14ac:dyDescent="0.2">
      <c r="A15" s="23" t="s">
        <v>44</v>
      </c>
      <c r="B15" s="56">
        <f t="shared" si="3"/>
        <v>555.80399999999997</v>
      </c>
      <c r="C15" s="7">
        <v>3918.6709999999998</v>
      </c>
      <c r="D15" s="7">
        <f>(60831.4*1.10231)/1000</f>
        <v>67.055060533999992</v>
      </c>
      <c r="E15" s="7">
        <f t="shared" si="0"/>
        <v>4541.5300605339999</v>
      </c>
      <c r="F15" s="6"/>
      <c r="G15" s="5">
        <f t="shared" si="1"/>
        <v>2640.8198255869997</v>
      </c>
      <c r="H15" s="7">
        <f>(1194443.7*1.10231)/1000</f>
        <v>1316.647234947</v>
      </c>
      <c r="I15" s="6">
        <f t="shared" si="2"/>
        <v>3957.4670605339998</v>
      </c>
      <c r="J15" s="6">
        <v>584.06299999999999</v>
      </c>
    </row>
    <row r="16" spans="1:10" ht="14.25" x14ac:dyDescent="0.2">
      <c r="A16" s="23" t="s">
        <v>46</v>
      </c>
      <c r="B16" s="56">
        <f t="shared" si="3"/>
        <v>584.06299999999999</v>
      </c>
      <c r="C16" s="7">
        <v>4476.5870000000004</v>
      </c>
      <c r="D16" s="7">
        <f>(66448.6*1.10231)/1000</f>
        <v>73.246956265999998</v>
      </c>
      <c r="E16" s="7">
        <f t="shared" si="0"/>
        <v>5133.8969562660004</v>
      </c>
      <c r="F16" s="6"/>
      <c r="G16" s="5">
        <f t="shared" si="1"/>
        <v>3387.3791584980008</v>
      </c>
      <c r="H16" s="7">
        <f>(1178232.8*1.10231)/1000</f>
        <v>1298.777797768</v>
      </c>
      <c r="I16" s="6">
        <f t="shared" si="2"/>
        <v>4686.1569562660006</v>
      </c>
      <c r="J16" s="6">
        <v>447.74</v>
      </c>
    </row>
    <row r="17" spans="1:10" ht="14.25" x14ac:dyDescent="0.2">
      <c r="A17" s="23" t="s">
        <v>47</v>
      </c>
      <c r="B17" s="56">
        <f t="shared" si="3"/>
        <v>447.74</v>
      </c>
      <c r="C17" s="7">
        <v>4044.7089999999998</v>
      </c>
      <c r="D17" s="7">
        <f>(61739.5*1.10231)/1000</f>
        <v>68.056068244999992</v>
      </c>
      <c r="E17" s="7">
        <f t="shared" si="0"/>
        <v>4560.5050682449992</v>
      </c>
      <c r="F17" s="6"/>
      <c r="G17" s="5">
        <f t="shared" si="1"/>
        <v>3050.7248173269991</v>
      </c>
      <c r="H17" s="7">
        <f>(959597.8*1.10231)/1000</f>
        <v>1057.774250918</v>
      </c>
      <c r="I17" s="6">
        <f t="shared" si="2"/>
        <v>4108.4990682449989</v>
      </c>
      <c r="J17" s="6">
        <v>452.00599999999997</v>
      </c>
    </row>
    <row r="18" spans="1:10" ht="14.25" x14ac:dyDescent="0.2">
      <c r="A18" s="23" t="s">
        <v>48</v>
      </c>
      <c r="B18" s="56">
        <f t="shared" ref="B18" si="4">J17</f>
        <v>452.00599999999997</v>
      </c>
      <c r="C18" s="7">
        <v>4122.884</v>
      </c>
      <c r="D18" s="7">
        <f>(59425.5*1.10231)/1000</f>
        <v>65.505322905</v>
      </c>
      <c r="E18" s="7">
        <f>SUM(B18:D18)</f>
        <v>4640.3953229050003</v>
      </c>
      <c r="F18" s="6"/>
      <c r="G18" s="5">
        <f t="shared" ref="G18:G22" si="5">I18-H18</f>
        <v>2948.6927628190006</v>
      </c>
      <c r="H18" s="7">
        <f>(952770.6*1.10231)/1000</f>
        <v>1050.2485600859998</v>
      </c>
      <c r="I18" s="6">
        <f>E18-J18</f>
        <v>3998.9413229050006</v>
      </c>
      <c r="J18" s="6">
        <v>641.45399999999995</v>
      </c>
    </row>
    <row r="19" spans="1:10" ht="14.25" x14ac:dyDescent="0.2">
      <c r="A19" s="23" t="s">
        <v>50</v>
      </c>
      <c r="B19" s="56">
        <f>J18</f>
        <v>641.45399999999995</v>
      </c>
      <c r="C19" s="7">
        <v>3833.951</v>
      </c>
      <c r="D19" s="7">
        <f>(57647.2*1.10231)/1000</f>
        <v>63.545085031999989</v>
      </c>
      <c r="E19" s="7">
        <f>SUM(B19:D19)</f>
        <v>4538.9500850320001</v>
      </c>
      <c r="F19" s="6"/>
      <c r="G19" s="5">
        <f t="shared" si="5"/>
        <v>3182.6439690309999</v>
      </c>
      <c r="H19" s="7">
        <f>(832167.1*1.10231)/1000</f>
        <v>917.30611600099996</v>
      </c>
      <c r="I19" s="6">
        <f>E19-J19</f>
        <v>4099.9500850320001</v>
      </c>
      <c r="J19" s="6">
        <v>439</v>
      </c>
    </row>
    <row r="20" spans="1:10" ht="14.25" x14ac:dyDescent="0.2">
      <c r="A20" s="23" t="s">
        <v>51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2936.1778779750002</v>
      </c>
      <c r="H20" s="7">
        <f>(980821.1*1.10231)/1000</f>
        <v>1081.1689067409998</v>
      </c>
      <c r="I20" s="6">
        <f>E20-J20</f>
        <v>4017.346784716</v>
      </c>
      <c r="J20" s="6">
        <v>476.82600000000002</v>
      </c>
    </row>
    <row r="21" spans="1:10" ht="14.25" x14ac:dyDescent="0.2">
      <c r="A21" s="23" t="s">
        <v>52</v>
      </c>
      <c r="B21" s="56">
        <f>J20</f>
        <v>476.82600000000002</v>
      </c>
      <c r="C21" s="7">
        <v>3995.2939999999999</v>
      </c>
      <c r="D21" s="7">
        <f>(42840.9*1.10231)/1000</f>
        <v>47.223952478999998</v>
      </c>
      <c r="E21" s="7">
        <f>SUM(B21:D21)</f>
        <v>4519.3439524790001</v>
      </c>
      <c r="F21" s="6"/>
      <c r="G21" s="5">
        <f t="shared" si="5"/>
        <v>3177.8774938420006</v>
      </c>
      <c r="H21" s="7">
        <f>(869042.7*1.10231)/1000</f>
        <v>957.95445863699979</v>
      </c>
      <c r="I21" s="6">
        <f>E21-J21</f>
        <v>4135.8319524790004</v>
      </c>
      <c r="J21" s="6">
        <v>383.512</v>
      </c>
    </row>
    <row r="22" spans="1:10" ht="14.25" x14ac:dyDescent="0.2">
      <c r="A22" s="23" t="s">
        <v>38</v>
      </c>
      <c r="B22" s="56">
        <f>J21</f>
        <v>383.512</v>
      </c>
      <c r="C22" s="7">
        <v>3867.6509999999998</v>
      </c>
      <c r="D22" s="7">
        <f>(35777.1*1.10231)/1000</f>
        <v>39.437455100999991</v>
      </c>
      <c r="E22" s="7">
        <f>SUM(B22:D22)</f>
        <v>4290.6004551009992</v>
      </c>
      <c r="F22" s="6"/>
      <c r="G22" s="5">
        <f t="shared" si="5"/>
        <v>3151.0161439659992</v>
      </c>
      <c r="H22" s="7">
        <f>(724658.5*1.10231)/1000</f>
        <v>798.79831113499995</v>
      </c>
      <c r="I22" s="6">
        <f>E22-J22</f>
        <v>3949.8144551009991</v>
      </c>
      <c r="J22" s="6">
        <v>340.786</v>
      </c>
    </row>
    <row r="23" spans="1:10" ht="14.25" x14ac:dyDescent="0.2">
      <c r="A23" s="23" t="s">
        <v>27</v>
      </c>
      <c r="B23" s="56"/>
      <c r="C23" s="7">
        <f>SUM(C11:C22)</f>
        <v>50564.714999999989</v>
      </c>
      <c r="D23" s="7">
        <f>SUM(D11:D22)</f>
        <v>782.87279764099992</v>
      </c>
      <c r="E23" s="7">
        <f>B11+C23+D23</f>
        <v>51688.923797640993</v>
      </c>
      <c r="F23" s="7"/>
      <c r="G23" s="7">
        <f>SUM(G11:G22)</f>
        <v>37580.430300251006</v>
      </c>
      <c r="H23" s="7">
        <f>SUM(H11:H22)</f>
        <v>13767.707497390002</v>
      </c>
      <c r="I23" s="7">
        <f>SUM(I11:I22)</f>
        <v>51348.137797641</v>
      </c>
      <c r="J23" s="7"/>
    </row>
    <row r="24" spans="1:10" ht="14.25" x14ac:dyDescent="0.2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0" ht="15" x14ac:dyDescent="0.25">
      <c r="A25" s="55" t="s">
        <v>54</v>
      </c>
      <c r="B25" s="56"/>
      <c r="C25" s="7"/>
      <c r="D25" s="7"/>
      <c r="E25" s="7"/>
      <c r="F25" s="7"/>
      <c r="G25" s="7"/>
      <c r="H25" s="7"/>
      <c r="I25" s="7"/>
      <c r="J25" s="7"/>
    </row>
    <row r="26" spans="1:10" ht="14.25" x14ac:dyDescent="0.2">
      <c r="A26" s="17" t="s">
        <v>39</v>
      </c>
      <c r="B26" s="57">
        <f>J22</f>
        <v>340.786</v>
      </c>
      <c r="C26" s="48">
        <v>4591.6390000000001</v>
      </c>
      <c r="D26" s="48">
        <f>(56516.5*1.10231)/1000</f>
        <v>62.298703114999995</v>
      </c>
      <c r="E26" s="48">
        <f>SUM(B26:D26)</f>
        <v>4994.7237031149998</v>
      </c>
      <c r="F26" s="48"/>
      <c r="G26" s="48">
        <f t="shared" ref="G26" si="6">I26-H26</f>
        <v>3492.8933177700001</v>
      </c>
      <c r="H26" s="48">
        <f>(989149.5*1.10231)/1000</f>
        <v>1090.3493853449997</v>
      </c>
      <c r="I26" s="64">
        <f>E26-J26</f>
        <v>4583.242703115</v>
      </c>
      <c r="J26" s="48">
        <v>411.48099999999999</v>
      </c>
    </row>
    <row r="27" spans="1:10" ht="16.5" x14ac:dyDescent="0.2">
      <c r="A27" s="58" t="s">
        <v>69</v>
      </c>
      <c r="B27" s="19"/>
      <c r="C27" s="19"/>
      <c r="D27" s="19"/>
      <c r="E27" s="19"/>
      <c r="F27" s="19"/>
      <c r="G27" s="19"/>
      <c r="H27" s="19"/>
      <c r="I27" s="19"/>
      <c r="J27" s="19"/>
    </row>
    <row r="28" spans="1:10" ht="14.25" x14ac:dyDescent="0.2">
      <c r="A28" s="19" t="s">
        <v>70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14.25" x14ac:dyDescent="0.2">
      <c r="A29" s="25" t="s">
        <v>58</v>
      </c>
      <c r="B29" s="50">
        <f ca="1">NOW()</f>
        <v>44540.67973773148</v>
      </c>
      <c r="C29" s="44"/>
      <c r="D29" s="38"/>
      <c r="E29" s="38"/>
      <c r="F29" s="38"/>
      <c r="G29" s="38"/>
      <c r="H29" s="38"/>
      <c r="I29" s="38"/>
      <c r="J29" s="38"/>
    </row>
    <row r="30" spans="1:10" x14ac:dyDescent="0.2">
      <c r="A30" s="59"/>
      <c r="B30" s="60"/>
      <c r="C30" s="61"/>
      <c r="D30" s="60"/>
      <c r="E30" s="135"/>
      <c r="F30" s="60"/>
      <c r="G30" s="60"/>
      <c r="H30" s="62"/>
      <c r="I30" s="135"/>
      <c r="J30" s="60"/>
    </row>
    <row r="31" spans="1:10" x14ac:dyDescent="0.2">
      <c r="A31" s="59"/>
      <c r="B31" s="60"/>
      <c r="C31" s="60"/>
      <c r="D31" s="60"/>
      <c r="E31" s="60"/>
      <c r="F31" s="60"/>
      <c r="G31" s="60"/>
      <c r="H31" s="60"/>
      <c r="I31" s="60"/>
      <c r="J31" s="60"/>
    </row>
    <row r="32" spans="1:10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</row>
    <row r="33" spans="1:10" x14ac:dyDescent="0.2">
      <c r="A33" s="59"/>
      <c r="B33" s="59"/>
      <c r="C33" s="59"/>
      <c r="D33" s="59"/>
      <c r="E33" s="59"/>
      <c r="F33" s="59"/>
      <c r="G33" s="59"/>
      <c r="H33" s="59"/>
      <c r="I33" s="59"/>
      <c r="J33" s="59"/>
    </row>
  </sheetData>
  <mergeCells count="3">
    <mergeCell ref="G2:I2"/>
    <mergeCell ref="B5:J5"/>
    <mergeCell ref="B2:E2"/>
  </mergeCells>
  <phoneticPr fontId="12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0"/>
  <sheetViews>
    <sheetView showGridLines="0" zoomScale="70" zoomScaleNormal="70" workbookViewId="0"/>
  </sheetViews>
  <sheetFormatPr defaultColWidth="9.140625" defaultRowHeight="12.75" x14ac:dyDescent="0.2"/>
  <cols>
    <col min="1" max="1" width="15.42578125" style="18" customWidth="1"/>
    <col min="2" max="2" width="12.28515625" style="18" bestFit="1" customWidth="1"/>
    <col min="3" max="3" width="11.7109375" style="18" bestFit="1" customWidth="1"/>
    <col min="4" max="4" width="11" style="18" bestFit="1" customWidth="1"/>
    <col min="5" max="5" width="11.28515625" style="18" bestFit="1" customWidth="1"/>
    <col min="6" max="6" width="3.7109375" style="18" customWidth="1"/>
    <col min="7" max="7" width="11.5703125" style="18" bestFit="1" customWidth="1"/>
    <col min="8" max="8" width="10.7109375" style="18" customWidth="1"/>
    <col min="9" max="9" width="12.7109375" style="18" customWidth="1"/>
    <col min="10" max="10" width="10.28515625" style="18" bestFit="1" customWidth="1"/>
    <col min="11" max="11" width="11.5703125" style="18" bestFit="1" customWidth="1"/>
    <col min="12" max="12" width="10.28515625" style="18" bestFit="1" customWidth="1"/>
    <col min="13" max="16384" width="9.140625" style="18"/>
  </cols>
  <sheetData>
    <row r="1" spans="1:13" ht="14.25" x14ac:dyDescent="0.2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4.25" x14ac:dyDescent="0.2">
      <c r="A2" s="19"/>
      <c r="B2" s="162" t="s">
        <v>59</v>
      </c>
      <c r="C2" s="162"/>
      <c r="D2" s="162"/>
      <c r="E2" s="162"/>
      <c r="F2" s="23"/>
      <c r="G2" s="162" t="s">
        <v>60</v>
      </c>
      <c r="H2" s="162"/>
      <c r="I2" s="162"/>
      <c r="J2" s="156"/>
      <c r="K2" s="156"/>
      <c r="L2" s="19"/>
    </row>
    <row r="3" spans="1:13" ht="14.25" x14ac:dyDescent="0.2">
      <c r="A3" s="19" t="s">
        <v>16</v>
      </c>
      <c r="B3" s="21" t="s">
        <v>71</v>
      </c>
      <c r="C3" s="40" t="s">
        <v>25</v>
      </c>
      <c r="D3" s="40" t="s">
        <v>72</v>
      </c>
      <c r="E3" s="40" t="s">
        <v>64</v>
      </c>
      <c r="F3" s="40"/>
      <c r="G3" s="156" t="s">
        <v>65</v>
      </c>
      <c r="H3" s="156"/>
      <c r="I3" s="156"/>
      <c r="J3" s="40" t="s">
        <v>73</v>
      </c>
      <c r="K3" s="40" t="s">
        <v>64</v>
      </c>
      <c r="L3" s="40" t="s">
        <v>61</v>
      </c>
    </row>
    <row r="4" spans="1:13" ht="16.5" x14ac:dyDescent="0.2">
      <c r="A4" s="26" t="s">
        <v>62</v>
      </c>
      <c r="B4" s="28" t="s">
        <v>63</v>
      </c>
      <c r="C4" s="29"/>
      <c r="D4" s="29"/>
      <c r="E4" s="29"/>
      <c r="F4" s="29"/>
      <c r="G4" s="28" t="s">
        <v>27</v>
      </c>
      <c r="H4" s="28" t="s">
        <v>74</v>
      </c>
      <c r="I4" s="28" t="s">
        <v>75</v>
      </c>
      <c r="J4" s="29"/>
      <c r="K4" s="29"/>
      <c r="L4" s="40" t="s">
        <v>67</v>
      </c>
    </row>
    <row r="5" spans="1:13" ht="14.25" x14ac:dyDescent="0.2">
      <c r="A5" s="19"/>
      <c r="B5" s="164" t="s">
        <v>76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3" ht="14.25" x14ac:dyDescent="0.2">
      <c r="A6" s="19" t="s">
        <v>33</v>
      </c>
      <c r="B6" s="54">
        <v>1775.316</v>
      </c>
      <c r="C6" s="54">
        <v>24911.120999999996</v>
      </c>
      <c r="D6" s="54">
        <v>319.88668388040003</v>
      </c>
      <c r="E6" s="54">
        <v>27006.323683880393</v>
      </c>
      <c r="F6" s="54"/>
      <c r="G6" s="54">
        <v>22316.958470009602</v>
      </c>
      <c r="H6" s="54">
        <v>8657.8000000000011</v>
      </c>
      <c r="I6" s="37">
        <v>13659.158470009601</v>
      </c>
      <c r="J6" s="54">
        <v>2836.6902138707997</v>
      </c>
      <c r="K6" s="54">
        <v>25153.648683880405</v>
      </c>
      <c r="L6" s="54">
        <v>1852.675</v>
      </c>
      <c r="M6" s="124"/>
    </row>
    <row r="7" spans="1:13" ht="16.5" x14ac:dyDescent="0.2">
      <c r="A7" s="19" t="s">
        <v>34</v>
      </c>
      <c r="B7" s="54">
        <f>L6</f>
        <v>1852.675</v>
      </c>
      <c r="C7" s="54">
        <f>C23</f>
        <v>25022.667000000001</v>
      </c>
      <c r="D7" s="54">
        <f>D23</f>
        <v>301.9644297936</v>
      </c>
      <c r="E7" s="54">
        <f>E23</f>
        <v>27177.3064297936</v>
      </c>
      <c r="F7" s="54"/>
      <c r="G7" s="54">
        <f>G23</f>
        <v>23322.575127803797</v>
      </c>
      <c r="H7" s="54">
        <f t="shared" ref="H7:J7" si="0">H23</f>
        <v>8849.5114432999999</v>
      </c>
      <c r="I7" s="37">
        <f t="shared" si="0"/>
        <v>14473.063684503799</v>
      </c>
      <c r="J7" s="54">
        <f t="shared" si="0"/>
        <v>1723.4983019897998</v>
      </c>
      <c r="K7" s="54">
        <f>E7-L7</f>
        <v>25046.0734297936</v>
      </c>
      <c r="L7" s="54">
        <f>L22</f>
        <v>2131.2330000000002</v>
      </c>
      <c r="M7" s="122"/>
    </row>
    <row r="8" spans="1:13" ht="16.5" x14ac:dyDescent="0.2">
      <c r="A8" s="19" t="s">
        <v>35</v>
      </c>
      <c r="B8" s="54">
        <f>L7</f>
        <v>2131.2330000000002</v>
      </c>
      <c r="C8" s="54">
        <v>25735</v>
      </c>
      <c r="D8" s="54">
        <v>450</v>
      </c>
      <c r="E8" s="54">
        <f>SUM(B8:D8)</f>
        <v>28316.233</v>
      </c>
      <c r="F8" s="54"/>
      <c r="G8" s="54">
        <f>K8-J8</f>
        <v>25150</v>
      </c>
      <c r="H8" s="54">
        <v>11000</v>
      </c>
      <c r="I8" s="37">
        <f>G8-H8</f>
        <v>14150</v>
      </c>
      <c r="J8" s="54">
        <v>1250</v>
      </c>
      <c r="K8" s="54">
        <f>E8-L8</f>
        <v>26400</v>
      </c>
      <c r="L8" s="54">
        <v>1916.2330000000002</v>
      </c>
    </row>
    <row r="9" spans="1:13" ht="14.25" x14ac:dyDescent="0.2">
      <c r="A9" s="19"/>
      <c r="B9" s="54"/>
      <c r="C9" s="54"/>
      <c r="D9" s="54"/>
      <c r="E9" s="54"/>
      <c r="F9" s="54"/>
      <c r="G9" s="54"/>
      <c r="H9" s="54"/>
      <c r="I9" s="123"/>
      <c r="J9" s="54"/>
      <c r="K9" s="54"/>
      <c r="L9" s="54"/>
    </row>
    <row r="10" spans="1:13" ht="15" x14ac:dyDescent="0.25">
      <c r="A10" s="41" t="s">
        <v>37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3" ht="14.25" x14ac:dyDescent="0.2">
      <c r="A11" s="23" t="s">
        <v>39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</row>
    <row r="12" spans="1:13" ht="14.25" x14ac:dyDescent="0.2">
      <c r="A12" s="23" t="s">
        <v>40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1901.6370607625995</v>
      </c>
      <c r="H12" s="7">
        <v>753.16669999999999</v>
      </c>
      <c r="I12" s="7">
        <f t="shared" si="3"/>
        <v>1148.4703607625995</v>
      </c>
      <c r="J12" s="7">
        <f>(80375.8*2204.622)/1000000</f>
        <v>177.19825694760002</v>
      </c>
      <c r="K12" s="7">
        <f t="shared" si="4"/>
        <v>2078.8353177101994</v>
      </c>
      <c r="L12" s="6">
        <v>2117.0970000000002</v>
      </c>
    </row>
    <row r="13" spans="1:13" ht="14.25" x14ac:dyDescent="0.2">
      <c r="A13" s="23" t="s">
        <v>42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2030.2426082694001</v>
      </c>
      <c r="H13" s="7">
        <v>814.16669999999999</v>
      </c>
      <c r="I13" s="7">
        <f t="shared" si="3"/>
        <v>1216.0759082694001</v>
      </c>
      <c r="J13" s="7">
        <f>(106506.7*2204.622)/1000000</f>
        <v>234.8070139674</v>
      </c>
      <c r="K13" s="7">
        <f t="shared" si="4"/>
        <v>2265.0496222368001</v>
      </c>
      <c r="L13" s="6">
        <v>2110.7860000000001</v>
      </c>
    </row>
    <row r="14" spans="1:13" ht="14.25" x14ac:dyDescent="0.2">
      <c r="A14" s="23" t="s">
        <v>43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1804.6869535148003</v>
      </c>
      <c r="H14" s="7">
        <v>682.87599999999998</v>
      </c>
      <c r="I14" s="7">
        <f t="shared" si="3"/>
        <v>1121.8109535148003</v>
      </c>
      <c r="J14" s="7">
        <f>(148706.1*2204.622)/1000000</f>
        <v>327.84073959419999</v>
      </c>
      <c r="K14" s="7">
        <f t="shared" si="4"/>
        <v>2132.5276931090002</v>
      </c>
      <c r="L14" s="6">
        <v>2305.991</v>
      </c>
    </row>
    <row r="15" spans="1:13" ht="14.25" x14ac:dyDescent="0.2">
      <c r="A15" s="23" t="s">
        <v>44</v>
      </c>
      <c r="B15" s="6">
        <f t="shared" si="5"/>
        <v>2305.991</v>
      </c>
      <c r="C15" s="7">
        <v>1924.749</v>
      </c>
      <c r="D15" s="7">
        <f>(9711.7*2204.622)/1000000</f>
        <v>21.410627477400002</v>
      </c>
      <c r="E15" s="7">
        <f t="shared" si="1"/>
        <v>4252.1506274774001</v>
      </c>
      <c r="F15" s="6"/>
      <c r="G15" s="6">
        <f t="shared" si="2"/>
        <v>1690.1760304182003</v>
      </c>
      <c r="H15" s="7">
        <v>552.22799999999995</v>
      </c>
      <c r="I15" s="7">
        <f t="shared" si="3"/>
        <v>1137.9480304182002</v>
      </c>
      <c r="J15" s="7">
        <f>(116113.6*2204.622)/1000000</f>
        <v>255.98659705919999</v>
      </c>
      <c r="K15" s="7">
        <f t="shared" si="4"/>
        <v>1946.1626274774003</v>
      </c>
      <c r="L15" s="6">
        <v>2305.9879999999998</v>
      </c>
    </row>
    <row r="16" spans="1:13" ht="14.25" x14ac:dyDescent="0.2">
      <c r="A16" s="23" t="s">
        <v>46</v>
      </c>
      <c r="B16" s="6">
        <f t="shared" si="5"/>
        <v>2305.9879999999998</v>
      </c>
      <c r="C16" s="7">
        <v>2222.123</v>
      </c>
      <c r="D16" s="7">
        <f>(9636.1*2204.622)/1000000</f>
        <v>21.2439580542</v>
      </c>
      <c r="E16" s="7">
        <f t="shared" si="1"/>
        <v>4549.3549580542003</v>
      </c>
      <c r="F16" s="6"/>
      <c r="G16" s="6">
        <f t="shared" si="2"/>
        <v>2148.2428110598007</v>
      </c>
      <c r="H16" s="7">
        <v>740.35334330000001</v>
      </c>
      <c r="I16" s="7">
        <f t="shared" si="3"/>
        <v>1407.8894677598007</v>
      </c>
      <c r="J16" s="7">
        <f>(70685.2*2204.622)/1000000</f>
        <v>155.83414699439999</v>
      </c>
      <c r="K16" s="7">
        <f t="shared" si="4"/>
        <v>2304.0769580542005</v>
      </c>
      <c r="L16" s="6">
        <v>2245.2779999999998</v>
      </c>
    </row>
    <row r="17" spans="1:14" ht="14.25" x14ac:dyDescent="0.2">
      <c r="A17" s="23" t="s">
        <v>47</v>
      </c>
      <c r="B17" s="6">
        <f t="shared" si="5"/>
        <v>2245.2779999999998</v>
      </c>
      <c r="C17" s="7">
        <v>1991.877</v>
      </c>
      <c r="D17" s="7">
        <f>(9275.9*2204.622)/1000000</f>
        <v>20.449853209799997</v>
      </c>
      <c r="E17" s="7">
        <f t="shared" si="1"/>
        <v>4257.6048532097993</v>
      </c>
      <c r="F17" s="6"/>
      <c r="G17" s="6">
        <f t="shared" si="2"/>
        <v>1950.4084486029992</v>
      </c>
      <c r="H17" s="7">
        <v>699.93299999999999</v>
      </c>
      <c r="I17" s="7">
        <f t="shared" ref="I17:I22" si="6">G17-H17</f>
        <v>1250.4754486029992</v>
      </c>
      <c r="J17" s="7">
        <f>(58789.4*2204.622)/1000000</f>
        <v>129.60840460679998</v>
      </c>
      <c r="K17" s="7">
        <f t="shared" si="4"/>
        <v>2080.0168532097991</v>
      </c>
      <c r="L17" s="6">
        <v>2177.5880000000002</v>
      </c>
    </row>
    <row r="18" spans="1:14" ht="14.25" x14ac:dyDescent="0.2">
      <c r="A18" s="23" t="s">
        <v>48</v>
      </c>
      <c r="B18" s="6">
        <f t="shared" ref="B18" si="7">L17</f>
        <v>2177.5880000000002</v>
      </c>
      <c r="C18" s="7">
        <v>2043.135</v>
      </c>
      <c r="D18" s="7">
        <f>(7517.3*2204.622)/1000000</f>
        <v>16.572804960599999</v>
      </c>
      <c r="E18" s="7">
        <f t="shared" ref="E18:E22" si="8">SUM(B18:D18)</f>
        <v>4237.2958049605995</v>
      </c>
      <c r="F18" s="6"/>
      <c r="G18" s="6">
        <f>K18-J18</f>
        <v>2019.0822001577997</v>
      </c>
      <c r="H18" s="7">
        <v>787.56200000000001</v>
      </c>
      <c r="I18" s="7">
        <f t="shared" si="6"/>
        <v>1231.5202001577995</v>
      </c>
      <c r="J18" s="7">
        <f>(32307.4*2204.622)/1000000</f>
        <v>71.225604802800007</v>
      </c>
      <c r="K18" s="7">
        <f>E18-L18</f>
        <v>2090.3078049605997</v>
      </c>
      <c r="L18" s="6">
        <v>2146.9879999999998</v>
      </c>
    </row>
    <row r="19" spans="1:14" ht="14.25" x14ac:dyDescent="0.2">
      <c r="A19" s="23" t="s">
        <v>50</v>
      </c>
      <c r="B19" s="6">
        <f>L18</f>
        <v>2146.9879999999998</v>
      </c>
      <c r="C19" s="7">
        <v>1908.6489999999999</v>
      </c>
      <c r="D19" s="7">
        <f>(11859.1*2204.622)/1000000</f>
        <v>26.144832760199996</v>
      </c>
      <c r="E19" s="7">
        <f t="shared" si="8"/>
        <v>4081.7818327601999</v>
      </c>
      <c r="F19" s="6"/>
      <c r="G19" s="6">
        <f>K19-J19</f>
        <v>1889.5260091224</v>
      </c>
      <c r="H19" s="7">
        <v>663.33</v>
      </c>
      <c r="I19" s="7">
        <f t="shared" si="6"/>
        <v>1226.1960091224</v>
      </c>
      <c r="J19" s="7">
        <f>(41549.9*2204.622)/1000000</f>
        <v>91.601823637799995</v>
      </c>
      <c r="K19" s="7">
        <f>E19-L19</f>
        <v>1981.1278327601999</v>
      </c>
      <c r="L19" s="6">
        <v>2100.654</v>
      </c>
    </row>
    <row r="20" spans="1:14" ht="14.25" x14ac:dyDescent="0.2">
      <c r="A20" s="23" t="s">
        <v>51</v>
      </c>
      <c r="B20" s="6">
        <f>L19</f>
        <v>2100.654</v>
      </c>
      <c r="C20" s="7">
        <v>1972.6880000000001</v>
      </c>
      <c r="D20" s="7">
        <f>(14714.2*2204.622)/1000000</f>
        <v>32.439249032399999</v>
      </c>
      <c r="E20" s="7">
        <f t="shared" si="8"/>
        <v>4105.7812490324004</v>
      </c>
      <c r="F20" s="6"/>
      <c r="G20" s="6">
        <f>K20-J20</f>
        <v>1999.9908670466004</v>
      </c>
      <c r="H20" s="7">
        <v>791.97900000000004</v>
      </c>
      <c r="I20" s="7">
        <f t="shared" si="6"/>
        <v>1208.0118670466004</v>
      </c>
      <c r="J20" s="7">
        <f>(16183.9*2204.622)/1000000</f>
        <v>35.679381985799999</v>
      </c>
      <c r="K20" s="7">
        <f>E20-L20</f>
        <v>2035.6702490324005</v>
      </c>
      <c r="L20" s="6">
        <v>2070.1109999999999</v>
      </c>
    </row>
    <row r="21" spans="1:14" ht="14.25" x14ac:dyDescent="0.2">
      <c r="A21" s="23" t="s">
        <v>52</v>
      </c>
      <c r="B21" s="6">
        <f>L20</f>
        <v>2070.1109999999999</v>
      </c>
      <c r="C21" s="7">
        <v>1989.7329999999999</v>
      </c>
      <c r="D21" s="7">
        <f>(19317.4*2204.622)/1000000</f>
        <v>42.5875650228</v>
      </c>
      <c r="E21" s="7">
        <f t="shared" si="8"/>
        <v>4102.4315650228</v>
      </c>
      <c r="F21" s="6"/>
      <c r="G21" s="6">
        <f>K21-J21</f>
        <v>1894.4255643878003</v>
      </c>
      <c r="H21" s="7">
        <v>814.73500000000001</v>
      </c>
      <c r="I21" s="7">
        <f t="shared" si="6"/>
        <v>1079.6905643878004</v>
      </c>
      <c r="J21" s="7">
        <f>(11142.5*2204.622)/1000000</f>
        <v>24.565000634999997</v>
      </c>
      <c r="K21" s="7">
        <f>E21-L21</f>
        <v>1918.9905650228002</v>
      </c>
      <c r="L21" s="6">
        <v>2183.4409999999998</v>
      </c>
    </row>
    <row r="22" spans="1:14" ht="14.25" x14ac:dyDescent="0.2">
      <c r="A22" s="23" t="s">
        <v>38</v>
      </c>
      <c r="B22" s="6">
        <f>L21</f>
        <v>2183.4409999999998</v>
      </c>
      <c r="C22" s="7">
        <v>1938.212</v>
      </c>
      <c r="D22" s="7">
        <f>(16009.4*2204.622)/1000000</f>
        <v>35.294675446799992</v>
      </c>
      <c r="E22" s="7">
        <f t="shared" si="8"/>
        <v>4156.9476754468005</v>
      </c>
      <c r="F22" s="6"/>
      <c r="G22" s="6">
        <f>K22-J22</f>
        <v>1991.8474927450004</v>
      </c>
      <c r="H22" s="7">
        <v>756.01499999999999</v>
      </c>
      <c r="I22" s="7">
        <f t="shared" si="6"/>
        <v>1235.8324927450003</v>
      </c>
      <c r="J22" s="7">
        <f>(15361.9*2204.622)/1000000</f>
        <v>33.867182701799997</v>
      </c>
      <c r="K22" s="7">
        <f>E22-L22</f>
        <v>2025.7146754468004</v>
      </c>
      <c r="L22" s="6">
        <v>2131.2330000000002</v>
      </c>
      <c r="N22" s="46"/>
    </row>
    <row r="23" spans="1:14" ht="14.25" x14ac:dyDescent="0.2">
      <c r="A23" s="23" t="s">
        <v>27</v>
      </c>
      <c r="B23" s="6"/>
      <c r="C23" s="7">
        <f>SUM(C11:C22)</f>
        <v>25022.667000000001</v>
      </c>
      <c r="D23" s="7">
        <f>SUM(D11:D22)</f>
        <v>301.9644297936</v>
      </c>
      <c r="E23" s="7">
        <f>B11+C23+D23</f>
        <v>27177.3064297936</v>
      </c>
      <c r="F23" s="6"/>
      <c r="G23" s="6">
        <f>SUM(G11:G22)</f>
        <v>23322.575127803797</v>
      </c>
      <c r="H23" s="7">
        <f>SUM(H11:H22)</f>
        <v>8849.5114432999999</v>
      </c>
      <c r="I23" s="7">
        <f>SUM(I11:I22)</f>
        <v>14473.063684503799</v>
      </c>
      <c r="J23" s="7">
        <f>SUM(J11:J22)</f>
        <v>1723.4983019897998</v>
      </c>
      <c r="K23" s="6">
        <f>SUM(K11:K22)</f>
        <v>25046.0734297936</v>
      </c>
      <c r="L23" s="6"/>
    </row>
    <row r="24" spans="1:14" ht="14.25" x14ac:dyDescent="0.2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5" x14ac:dyDescent="0.25">
      <c r="A25" s="41" t="s">
        <v>54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4.25" x14ac:dyDescent="0.2">
      <c r="A26" s="17" t="s">
        <v>39</v>
      </c>
      <c r="B26" s="64">
        <f>L22</f>
        <v>2131.2330000000002</v>
      </c>
      <c r="C26" s="48">
        <v>2347.58</v>
      </c>
      <c r="D26" s="48">
        <f>(15994.4*2204.622)/1000000</f>
        <v>35.261606116799996</v>
      </c>
      <c r="E26" s="48">
        <f t="shared" ref="E26" si="9">SUM(B26:D26)</f>
        <v>4514.0746061168002</v>
      </c>
      <c r="F26" s="64"/>
      <c r="G26" s="64">
        <f>K26-J26</f>
        <v>2070.5737418166</v>
      </c>
      <c r="H26" s="48" t="s">
        <v>77</v>
      </c>
      <c r="I26" s="48" t="s">
        <v>77</v>
      </c>
      <c r="J26" s="48">
        <f>(25929.1*2204.622)/1000000</f>
        <v>57.16386430019999</v>
      </c>
      <c r="K26" s="48">
        <f>E26-L26</f>
        <v>2127.7376061168002</v>
      </c>
      <c r="L26" s="64">
        <v>2386.337</v>
      </c>
    </row>
    <row r="27" spans="1:14" ht="16.5" x14ac:dyDescent="0.2">
      <c r="A27" s="58" t="s">
        <v>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4" ht="14.25" x14ac:dyDescent="0.2">
      <c r="A28" s="19" t="s">
        <v>70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4" ht="14.25" x14ac:dyDescent="0.2">
      <c r="A29" s="25" t="s">
        <v>58</v>
      </c>
      <c r="B29" s="50">
        <f ca="1">NOW()</f>
        <v>44540.67973773148</v>
      </c>
      <c r="K29" s="46"/>
    </row>
    <row r="30" spans="1:14" x14ac:dyDescent="0.2">
      <c r="E30" s="46"/>
    </row>
  </sheetData>
  <mergeCells count="3">
    <mergeCell ref="B5:L5"/>
    <mergeCell ref="G2:I2"/>
    <mergeCell ref="B2:E2"/>
  </mergeCells>
  <phoneticPr fontId="12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ColWidth="9.140625" defaultRowHeight="12.75" x14ac:dyDescent="0.2"/>
  <cols>
    <col min="1" max="1" width="15.28515625" style="18" customWidth="1"/>
    <col min="2" max="2" width="13.140625" style="18" customWidth="1"/>
    <col min="3" max="3" width="12.140625" style="18" customWidth="1"/>
    <col min="4" max="4" width="13.42578125" style="18" customWidth="1"/>
    <col min="5" max="5" width="15.28515625" style="18" customWidth="1"/>
    <col min="6" max="6" width="10.5703125" style="18" customWidth="1"/>
    <col min="7" max="7" width="11.7109375" style="18" customWidth="1"/>
    <col min="8" max="8" width="8.7109375" style="18" customWidth="1"/>
    <col min="9" max="9" width="9.7109375" style="18" customWidth="1"/>
    <col min="10" max="11" width="7.7109375" style="18" customWidth="1"/>
    <col min="12" max="12" width="8.5703125" style="18" customWidth="1"/>
    <col min="13" max="13" width="9.5703125" style="18" customWidth="1"/>
    <col min="14" max="15" width="7.5703125" style="18" customWidth="1"/>
    <col min="16" max="18" width="9.140625" style="18"/>
    <col min="19" max="19" width="17.42578125" style="18" bestFit="1" customWidth="1"/>
    <col min="20" max="20" width="9.140625" style="18"/>
    <col min="21" max="21" width="28.28515625" style="18" bestFit="1" customWidth="1"/>
    <col min="22" max="16384" width="9.140625" style="18"/>
  </cols>
  <sheetData>
    <row r="1" spans="1:15" ht="14.25" x14ac:dyDescent="0.2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4.25" x14ac:dyDescent="0.2">
      <c r="A2" s="19"/>
      <c r="B2" s="162" t="s">
        <v>59</v>
      </c>
      <c r="C2" s="162"/>
      <c r="D2" s="162"/>
      <c r="E2" s="162"/>
      <c r="F2" s="100"/>
      <c r="G2" s="162" t="s">
        <v>60</v>
      </c>
      <c r="H2" s="162"/>
      <c r="I2" s="162"/>
      <c r="J2" s="162"/>
      <c r="K2" s="100"/>
      <c r="L2" s="19"/>
      <c r="M2" s="19"/>
      <c r="N2" s="19"/>
      <c r="O2" s="19"/>
    </row>
    <row r="3" spans="1:15" ht="14.25" x14ac:dyDescent="0.2">
      <c r="A3" s="19" t="s">
        <v>16</v>
      </c>
      <c r="B3" s="25" t="s">
        <v>71</v>
      </c>
      <c r="C3" s="25"/>
      <c r="D3" s="25"/>
      <c r="E3" s="25"/>
      <c r="F3" s="101"/>
      <c r="G3" s="25"/>
      <c r="H3" s="25"/>
      <c r="I3" s="25"/>
      <c r="J3" s="25"/>
      <c r="K3" s="21" t="s">
        <v>61</v>
      </c>
      <c r="L3" s="19"/>
      <c r="M3" s="19"/>
      <c r="N3" s="19"/>
      <c r="O3" s="19"/>
    </row>
    <row r="4" spans="1:15" ht="14.25" x14ac:dyDescent="0.2">
      <c r="A4" s="26" t="s">
        <v>79</v>
      </c>
      <c r="B4" s="28" t="s">
        <v>80</v>
      </c>
      <c r="C4" s="78" t="s">
        <v>25</v>
      </c>
      <c r="D4" s="30" t="s">
        <v>72</v>
      </c>
      <c r="E4" s="28" t="s">
        <v>81</v>
      </c>
      <c r="F4" s="29"/>
      <c r="G4" s="28" t="s">
        <v>82</v>
      </c>
      <c r="H4" s="28" t="s">
        <v>29</v>
      </c>
      <c r="I4" s="28" t="s">
        <v>83</v>
      </c>
      <c r="J4" s="28" t="s">
        <v>84</v>
      </c>
      <c r="K4" s="28" t="s">
        <v>63</v>
      </c>
      <c r="L4" s="19"/>
      <c r="M4" s="19"/>
      <c r="N4" s="19"/>
      <c r="O4" s="19"/>
    </row>
    <row r="5" spans="1:15" ht="14.25" x14ac:dyDescent="0.2">
      <c r="A5" s="19"/>
      <c r="B5" s="167" t="s">
        <v>85</v>
      </c>
      <c r="C5" s="167"/>
      <c r="D5" s="167"/>
      <c r="E5" s="167"/>
      <c r="F5" s="167"/>
      <c r="G5" s="167"/>
      <c r="H5" s="167"/>
      <c r="I5" s="167"/>
      <c r="J5" s="167"/>
      <c r="K5" s="167"/>
      <c r="L5" s="19"/>
      <c r="M5" s="19"/>
      <c r="N5" s="19"/>
      <c r="O5" s="19"/>
    </row>
    <row r="6" spans="1:15" ht="14.25" x14ac:dyDescent="0.2">
      <c r="A6" s="19" t="s">
        <v>33</v>
      </c>
      <c r="B6" s="102">
        <v>476.97603460691334</v>
      </c>
      <c r="C6" s="102">
        <v>5945</v>
      </c>
      <c r="D6" s="103">
        <v>1.0880000000000001</v>
      </c>
      <c r="E6" s="102">
        <v>6423.0879999999997</v>
      </c>
      <c r="F6" s="104"/>
      <c r="G6" s="102">
        <v>1712.0099999999998</v>
      </c>
      <c r="H6" s="105">
        <v>340.64748459156186</v>
      </c>
      <c r="I6" s="102">
        <v>3914.4029999999993</v>
      </c>
      <c r="J6" s="106">
        <f>E6-K6</f>
        <v>5967.0811380282848</v>
      </c>
      <c r="K6" s="102">
        <v>456.0068619717149</v>
      </c>
      <c r="L6" s="19"/>
      <c r="M6" s="19"/>
      <c r="N6" s="19"/>
      <c r="O6" s="19"/>
    </row>
    <row r="7" spans="1:15" ht="16.5" x14ac:dyDescent="0.2">
      <c r="A7" s="23" t="s">
        <v>34</v>
      </c>
      <c r="B7" s="106">
        <f>K6</f>
        <v>456.0068619717149</v>
      </c>
      <c r="C7" s="106">
        <v>4509</v>
      </c>
      <c r="D7" s="107">
        <v>1</v>
      </c>
      <c r="E7" s="106">
        <f>B7+C7+D7</f>
        <v>4966.0068619717149</v>
      </c>
      <c r="F7" s="108"/>
      <c r="G7" s="106">
        <v>1562.7429999999999</v>
      </c>
      <c r="H7" s="109">
        <v>282.68453874670092</v>
      </c>
      <c r="I7" s="106">
        <f>J7-G7-H7</f>
        <v>2762.0677753251334</v>
      </c>
      <c r="J7" s="106">
        <f>E7-K7</f>
        <v>4607.4953140718344</v>
      </c>
      <c r="K7" s="106">
        <v>358.5115478998805</v>
      </c>
      <c r="L7" s="19"/>
      <c r="M7" s="19"/>
      <c r="N7" s="19"/>
      <c r="O7" s="19"/>
    </row>
    <row r="8" spans="1:15" ht="16.5" x14ac:dyDescent="0.2">
      <c r="A8" s="17" t="s">
        <v>35</v>
      </c>
      <c r="B8" s="110">
        <f>K7</f>
        <v>358.5115478998805</v>
      </c>
      <c r="C8" s="110">
        <v>5576</v>
      </c>
      <c r="D8" s="111">
        <v>30</v>
      </c>
      <c r="E8" s="110">
        <f>B8+C8+D8</f>
        <v>5964.5115478998805</v>
      </c>
      <c r="F8" s="112"/>
      <c r="G8" s="110">
        <v>1675</v>
      </c>
      <c r="H8" s="113">
        <v>250</v>
      </c>
      <c r="I8" s="110">
        <v>3621.6</v>
      </c>
      <c r="J8" s="110">
        <f>E8-K8</f>
        <v>5546.6</v>
      </c>
      <c r="K8" s="110">
        <v>417.91154789988013</v>
      </c>
      <c r="L8" s="19"/>
      <c r="M8" s="19"/>
      <c r="N8" s="19"/>
      <c r="O8" s="19"/>
    </row>
    <row r="9" spans="1:15" ht="16.5" x14ac:dyDescent="0.2">
      <c r="A9" s="58" t="s">
        <v>86</v>
      </c>
      <c r="B9" s="19"/>
      <c r="C9" s="104"/>
      <c r="D9" s="104"/>
      <c r="E9" s="104"/>
      <c r="F9" s="104"/>
      <c r="G9" s="114"/>
      <c r="H9" s="104"/>
      <c r="I9" s="104"/>
      <c r="J9" s="104"/>
      <c r="K9" s="19"/>
      <c r="L9" s="19"/>
      <c r="M9" s="19"/>
      <c r="N9" s="19"/>
      <c r="O9" s="19"/>
    </row>
    <row r="10" spans="1:15" ht="14.25" x14ac:dyDescent="0.2">
      <c r="A10" s="19" t="s">
        <v>87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25" x14ac:dyDescent="0.2">
      <c r="A11" s="19" t="s">
        <v>88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4.25" x14ac:dyDescent="0.2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4.25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4.25" x14ac:dyDescent="0.2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4.25" x14ac:dyDescent="0.2">
      <c r="A15" s="19"/>
      <c r="B15" s="162" t="s">
        <v>59</v>
      </c>
      <c r="C15" s="162"/>
      <c r="D15" s="162"/>
      <c r="E15" s="162"/>
      <c r="F15" s="19"/>
      <c r="G15" s="162" t="s">
        <v>60</v>
      </c>
      <c r="H15" s="162"/>
      <c r="I15" s="162"/>
      <c r="J15" s="19"/>
      <c r="K15" s="19"/>
      <c r="L15" s="19"/>
      <c r="M15" s="19"/>
      <c r="N15" s="19"/>
      <c r="O15" s="19"/>
    </row>
    <row r="16" spans="1:15" ht="14.25" x14ac:dyDescent="0.2">
      <c r="A16" s="19" t="s">
        <v>16</v>
      </c>
      <c r="B16" s="21" t="s">
        <v>71</v>
      </c>
      <c r="C16" s="25"/>
      <c r="D16" s="25"/>
      <c r="E16" s="25"/>
      <c r="F16" s="25"/>
      <c r="G16" s="25"/>
      <c r="H16" s="25"/>
      <c r="I16" s="25"/>
      <c r="J16" s="21" t="s">
        <v>61</v>
      </c>
      <c r="K16" s="19"/>
      <c r="L16" s="19"/>
      <c r="M16" s="19"/>
      <c r="N16" s="19"/>
      <c r="O16" s="19"/>
    </row>
    <row r="17" spans="1:15" ht="14.25" x14ac:dyDescent="0.2">
      <c r="A17" s="26" t="s">
        <v>62</v>
      </c>
      <c r="B17" s="28" t="s">
        <v>63</v>
      </c>
      <c r="C17" s="78" t="s">
        <v>25</v>
      </c>
      <c r="D17" s="30" t="s">
        <v>72</v>
      </c>
      <c r="E17" s="28" t="s">
        <v>84</v>
      </c>
      <c r="F17" s="29"/>
      <c r="G17" s="106" t="s">
        <v>89</v>
      </c>
      <c r="H17" s="28" t="s">
        <v>29</v>
      </c>
      <c r="I17" s="30" t="s">
        <v>64</v>
      </c>
      <c r="J17" s="28" t="s">
        <v>63</v>
      </c>
      <c r="K17" s="19"/>
      <c r="L17" s="19"/>
      <c r="M17" s="19"/>
      <c r="N17" s="19"/>
      <c r="O17" s="19"/>
    </row>
    <row r="18" spans="1:15" ht="14.25" x14ac:dyDescent="0.2">
      <c r="A18" s="19"/>
      <c r="B18" s="167" t="s">
        <v>90</v>
      </c>
      <c r="C18" s="167"/>
      <c r="D18" s="167"/>
      <c r="E18" s="167"/>
      <c r="F18" s="167"/>
      <c r="G18" s="167"/>
      <c r="H18" s="167"/>
      <c r="I18" s="167"/>
      <c r="J18" s="167"/>
      <c r="K18" s="19"/>
      <c r="L18" s="19"/>
      <c r="M18" s="19"/>
      <c r="N18" s="19"/>
      <c r="O18" s="19"/>
    </row>
    <row r="19" spans="1:15" ht="14.25" x14ac:dyDescent="0.2">
      <c r="A19" s="19" t="s">
        <v>33</v>
      </c>
      <c r="B19" s="102">
        <v>43</v>
      </c>
      <c r="C19" s="105">
        <v>779.976</v>
      </c>
      <c r="D19" s="103">
        <v>0</v>
      </c>
      <c r="E19" s="105">
        <v>822.976</v>
      </c>
      <c r="F19" s="19"/>
      <c r="G19" s="105">
        <v>688.44474810762813</v>
      </c>
      <c r="H19" s="105">
        <v>109.65925189237197</v>
      </c>
      <c r="I19" s="109">
        <f>SUM(G19:H19)</f>
        <v>798.10400000000004</v>
      </c>
      <c r="J19" s="102">
        <v>24.872</v>
      </c>
      <c r="K19" s="19"/>
      <c r="L19" s="19"/>
      <c r="M19" s="19"/>
      <c r="N19" s="19"/>
      <c r="O19" s="19"/>
    </row>
    <row r="20" spans="1:15" ht="16.5" x14ac:dyDescent="0.2">
      <c r="A20" s="23" t="s">
        <v>34</v>
      </c>
      <c r="B20" s="106">
        <f>J19</f>
        <v>24.872</v>
      </c>
      <c r="C20" s="109">
        <v>648.57100000000003</v>
      </c>
      <c r="D20" s="107">
        <v>0</v>
      </c>
      <c r="E20" s="109">
        <f>B20+C20+D20</f>
        <v>673.44299999999998</v>
      </c>
      <c r="F20" s="108"/>
      <c r="G20" s="109">
        <v>573.37749036166895</v>
      </c>
      <c r="H20" s="109">
        <v>60.759509638330982</v>
      </c>
      <c r="I20" s="109">
        <f>SUM(G20:H20)</f>
        <v>634.13699999999994</v>
      </c>
      <c r="J20" s="106">
        <v>39.305999999999997</v>
      </c>
      <c r="K20" s="19"/>
      <c r="L20" s="19"/>
      <c r="M20" s="19"/>
      <c r="N20" s="19"/>
      <c r="O20" s="19"/>
    </row>
    <row r="21" spans="1:15" ht="16.5" x14ac:dyDescent="0.2">
      <c r="A21" s="17" t="s">
        <v>35</v>
      </c>
      <c r="B21" s="110">
        <f>J20</f>
        <v>39.305999999999997</v>
      </c>
      <c r="C21" s="113">
        <v>755</v>
      </c>
      <c r="D21" s="111">
        <v>0</v>
      </c>
      <c r="E21" s="113">
        <f>B21+C21+D21</f>
        <v>794.30600000000004</v>
      </c>
      <c r="F21" s="112"/>
      <c r="G21" s="113">
        <v>694.30600000000004</v>
      </c>
      <c r="H21" s="113">
        <v>75</v>
      </c>
      <c r="I21" s="113">
        <f>SUM(G21:H21)</f>
        <v>769.30600000000004</v>
      </c>
      <c r="J21" s="110">
        <v>25</v>
      </c>
      <c r="K21" s="19"/>
      <c r="L21" s="19"/>
      <c r="M21" s="19"/>
      <c r="N21" s="19"/>
      <c r="O21" s="19"/>
    </row>
    <row r="22" spans="1:15" ht="16.5" x14ac:dyDescent="0.2">
      <c r="A22" s="58" t="s">
        <v>86</v>
      </c>
      <c r="B22" s="19"/>
      <c r="C22" s="104"/>
      <c r="D22" s="104"/>
      <c r="E22" s="104"/>
      <c r="F22" s="104"/>
      <c r="G22" s="104"/>
      <c r="H22" s="104"/>
      <c r="I22" s="19"/>
      <c r="J22" s="19"/>
      <c r="K22" s="19"/>
      <c r="L22" s="19"/>
      <c r="M22" s="19"/>
      <c r="N22" s="19"/>
      <c r="O22" s="19"/>
    </row>
    <row r="23" spans="1:15" ht="14.25" x14ac:dyDescent="0.2">
      <c r="A23" s="19" t="s">
        <v>91</v>
      </c>
      <c r="B23" s="108"/>
      <c r="C23" s="108"/>
      <c r="D23" s="108"/>
      <c r="E23" s="108"/>
      <c r="F23" s="108"/>
      <c r="G23" s="108"/>
      <c r="H23" s="108"/>
      <c r="I23" s="19"/>
      <c r="J23" s="19"/>
      <c r="K23" s="19"/>
      <c r="L23" s="19"/>
      <c r="M23" s="19"/>
      <c r="N23" s="19"/>
      <c r="O23" s="19"/>
    </row>
    <row r="24" spans="1:15" ht="14.25" x14ac:dyDescent="0.2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4.25" x14ac:dyDescent="0.2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4.25" x14ac:dyDescent="0.2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4.25" x14ac:dyDescent="0.2">
      <c r="A27" s="19"/>
      <c r="B27" s="162" t="s">
        <v>59</v>
      </c>
      <c r="C27" s="162"/>
      <c r="D27" s="162"/>
      <c r="E27" s="162"/>
      <c r="F27" s="19"/>
      <c r="G27" s="162" t="s">
        <v>60</v>
      </c>
      <c r="H27" s="162"/>
      <c r="I27" s="162"/>
      <c r="J27" s="19"/>
      <c r="K27" s="19"/>
      <c r="L27" s="19"/>
      <c r="M27" s="19"/>
      <c r="N27" s="19"/>
      <c r="O27" s="19"/>
    </row>
    <row r="28" spans="1:15" ht="14.25" x14ac:dyDescent="0.2">
      <c r="A28" s="19" t="s">
        <v>16</v>
      </c>
      <c r="B28" s="21" t="s">
        <v>71</v>
      </c>
      <c r="C28" s="25"/>
      <c r="D28" s="25"/>
      <c r="E28" s="25"/>
      <c r="F28" s="25"/>
      <c r="G28" s="25"/>
      <c r="H28" s="25"/>
      <c r="I28" s="25"/>
      <c r="J28" s="21" t="s">
        <v>61</v>
      </c>
      <c r="K28" s="19"/>
      <c r="L28" s="19"/>
      <c r="M28" s="19"/>
      <c r="N28" s="19"/>
      <c r="O28" s="19"/>
    </row>
    <row r="29" spans="1:15" ht="14.25" x14ac:dyDescent="0.2">
      <c r="A29" s="26" t="s">
        <v>62</v>
      </c>
      <c r="B29" s="28" t="s">
        <v>63</v>
      </c>
      <c r="C29" s="28" t="s">
        <v>25</v>
      </c>
      <c r="D29" s="30" t="s">
        <v>72</v>
      </c>
      <c r="E29" s="28" t="s">
        <v>84</v>
      </c>
      <c r="F29" s="29"/>
      <c r="G29" s="28" t="s">
        <v>65</v>
      </c>
      <c r="H29" s="28" t="s">
        <v>29</v>
      </c>
      <c r="I29" s="28" t="s">
        <v>64</v>
      </c>
      <c r="J29" s="28" t="s">
        <v>67</v>
      </c>
      <c r="K29" s="19"/>
      <c r="L29" s="19"/>
      <c r="M29" s="19"/>
      <c r="N29" s="19"/>
      <c r="O29" s="19"/>
    </row>
    <row r="30" spans="1:15" ht="14.25" x14ac:dyDescent="0.2">
      <c r="A30" s="19"/>
      <c r="B30" s="167" t="s">
        <v>92</v>
      </c>
      <c r="C30" s="167"/>
      <c r="D30" s="167"/>
      <c r="E30" s="167"/>
      <c r="F30" s="167"/>
      <c r="G30" s="167"/>
      <c r="H30" s="167"/>
      <c r="I30" s="167"/>
      <c r="J30" s="167"/>
      <c r="K30" s="19"/>
      <c r="L30" s="19"/>
      <c r="M30" s="19"/>
      <c r="N30" s="19"/>
      <c r="O30" s="19"/>
    </row>
    <row r="31" spans="1:15" ht="14.25" x14ac:dyDescent="0.2">
      <c r="A31" s="19" t="s">
        <v>33</v>
      </c>
      <c r="B31" s="103">
        <v>35.040999999999997</v>
      </c>
      <c r="C31" s="105">
        <v>481.34800000000001</v>
      </c>
      <c r="D31" s="103">
        <v>0.26666000000000001</v>
      </c>
      <c r="E31" s="115">
        <f>B31+C31+D31</f>
        <v>516.65566000000001</v>
      </c>
      <c r="F31" s="19"/>
      <c r="G31" s="109">
        <f>I31-H31</f>
        <v>388.20178644136797</v>
      </c>
      <c r="H31" s="105">
        <v>83.915873558632001</v>
      </c>
      <c r="I31" s="109">
        <f>E31-J31</f>
        <v>472.11766</v>
      </c>
      <c r="J31" s="109">
        <v>44.537999999999997</v>
      </c>
      <c r="K31" s="19"/>
      <c r="L31" s="19"/>
      <c r="M31" s="19"/>
      <c r="N31" s="19"/>
      <c r="O31" s="19"/>
    </row>
    <row r="32" spans="1:15" ht="16.5" x14ac:dyDescent="0.2">
      <c r="A32" s="23" t="s">
        <v>34</v>
      </c>
      <c r="B32" s="107">
        <f>J31</f>
        <v>44.537999999999997</v>
      </c>
      <c r="C32" s="109">
        <v>399.91800000000001</v>
      </c>
      <c r="D32" s="107">
        <v>21.365218272682</v>
      </c>
      <c r="E32" s="115">
        <f>B32+C32+D32</f>
        <v>465.82121827268202</v>
      </c>
      <c r="F32" s="108"/>
      <c r="G32" s="109">
        <f>I32-H32</f>
        <v>355.51274692573605</v>
      </c>
      <c r="H32" s="109">
        <v>62.100471346945994</v>
      </c>
      <c r="I32" s="109">
        <f>E32-J32</f>
        <v>417.61321827268205</v>
      </c>
      <c r="J32" s="109">
        <v>48.207999999999998</v>
      </c>
      <c r="K32" s="19"/>
      <c r="L32" s="19"/>
      <c r="M32" s="19"/>
      <c r="N32" s="19"/>
      <c r="O32" s="19"/>
    </row>
    <row r="33" spans="1:15" ht="16.5" x14ac:dyDescent="0.2">
      <c r="A33" s="17" t="s">
        <v>35</v>
      </c>
      <c r="B33" s="111">
        <f>J32</f>
        <v>48.207999999999998</v>
      </c>
      <c r="C33" s="113">
        <v>470</v>
      </c>
      <c r="D33" s="111">
        <v>5</v>
      </c>
      <c r="E33" s="116">
        <f>B33+C33+D33</f>
        <v>523.20799999999997</v>
      </c>
      <c r="F33" s="112"/>
      <c r="G33" s="113">
        <f>I33-H33</f>
        <v>412.20799999999997</v>
      </c>
      <c r="H33" s="113">
        <v>66</v>
      </c>
      <c r="I33" s="113">
        <f>E33-J33</f>
        <v>478.20799999999997</v>
      </c>
      <c r="J33" s="113">
        <v>45</v>
      </c>
      <c r="K33" s="19"/>
      <c r="L33" s="19"/>
      <c r="M33" s="19"/>
      <c r="N33" s="19"/>
      <c r="O33" s="19"/>
    </row>
    <row r="34" spans="1:15" ht="16.5" x14ac:dyDescent="0.2">
      <c r="A34" s="58" t="s">
        <v>86</v>
      </c>
      <c r="B34" s="19"/>
      <c r="C34" s="104"/>
      <c r="D34" s="104"/>
      <c r="E34" s="104"/>
      <c r="F34" s="104"/>
      <c r="G34" s="104"/>
      <c r="H34" s="104"/>
      <c r="I34" s="19"/>
      <c r="J34" s="19"/>
      <c r="K34" s="19"/>
      <c r="L34" s="19"/>
      <c r="M34" s="19"/>
      <c r="N34" s="19"/>
      <c r="O34" s="19"/>
    </row>
    <row r="35" spans="1:15" ht="14.25" x14ac:dyDescent="0.2">
      <c r="A35" s="19" t="s">
        <v>91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5" ht="14.25" x14ac:dyDescent="0.2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5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4.25" x14ac:dyDescent="0.2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5" ht="14.25" x14ac:dyDescent="0.2">
      <c r="A39" s="19"/>
      <c r="B39" s="162" t="s">
        <v>12</v>
      </c>
      <c r="C39" s="162"/>
      <c r="D39" s="21" t="s">
        <v>13</v>
      </c>
      <c r="E39" s="162" t="s">
        <v>14</v>
      </c>
      <c r="F39" s="162"/>
      <c r="G39" s="162"/>
      <c r="H39" s="162"/>
      <c r="I39" s="19"/>
      <c r="J39" s="162" t="s">
        <v>60</v>
      </c>
      <c r="K39" s="162"/>
      <c r="L39" s="162"/>
      <c r="M39" s="162"/>
      <c r="N39" s="162"/>
      <c r="O39" s="100"/>
    </row>
    <row r="40" spans="1:15" ht="14.25" x14ac:dyDescent="0.2">
      <c r="A40" s="19" t="s">
        <v>16</v>
      </c>
      <c r="B40" s="21" t="s">
        <v>17</v>
      </c>
      <c r="C40" s="21" t="s">
        <v>18</v>
      </c>
      <c r="D40" s="19"/>
      <c r="E40" s="21" t="s">
        <v>71</v>
      </c>
      <c r="F40" s="21"/>
      <c r="G40" s="21"/>
      <c r="H40" s="21"/>
      <c r="I40" s="19"/>
      <c r="J40" s="117" t="s">
        <v>89</v>
      </c>
      <c r="K40" s="21"/>
      <c r="L40" s="21" t="s">
        <v>21</v>
      </c>
      <c r="M40" s="21"/>
      <c r="N40" s="21"/>
      <c r="O40" s="21" t="s">
        <v>61</v>
      </c>
    </row>
    <row r="41" spans="1:15" ht="14.25" x14ac:dyDescent="0.2">
      <c r="A41" s="26" t="s">
        <v>79</v>
      </c>
      <c r="B41" s="27"/>
      <c r="C41" s="27"/>
      <c r="D41" s="27"/>
      <c r="E41" s="28" t="s">
        <v>63</v>
      </c>
      <c r="F41" s="28" t="s">
        <v>25</v>
      </c>
      <c r="G41" s="28" t="s">
        <v>72</v>
      </c>
      <c r="H41" s="28" t="s">
        <v>84</v>
      </c>
      <c r="I41" s="28"/>
      <c r="J41" s="28" t="s">
        <v>93</v>
      </c>
      <c r="K41" s="28" t="s">
        <v>82</v>
      </c>
      <c r="L41" s="28" t="s">
        <v>94</v>
      </c>
      <c r="M41" s="30" t="s">
        <v>29</v>
      </c>
      <c r="N41" s="28" t="s">
        <v>64</v>
      </c>
      <c r="O41" s="28" t="s">
        <v>67</v>
      </c>
    </row>
    <row r="42" spans="1:15" ht="14.25" x14ac:dyDescent="0.2">
      <c r="A42" s="19"/>
      <c r="B42" s="165" t="s">
        <v>95</v>
      </c>
      <c r="C42" s="166"/>
      <c r="D42" s="118" t="s">
        <v>96</v>
      </c>
      <c r="E42" s="168" t="s">
        <v>97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6"/>
    </row>
    <row r="43" spans="1:15" ht="14.25" x14ac:dyDescent="0.2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4.25" x14ac:dyDescent="0.2">
      <c r="A44" s="19" t="s">
        <v>33</v>
      </c>
      <c r="B44" s="102">
        <v>1432.7</v>
      </c>
      <c r="C44" s="102">
        <v>1389.7</v>
      </c>
      <c r="D44" s="106">
        <f>F44*1000/C44</f>
        <v>3933.5734331150607</v>
      </c>
      <c r="E44" s="102">
        <v>2421.09</v>
      </c>
      <c r="F44" s="102">
        <v>5466.4870000000001</v>
      </c>
      <c r="G44" s="109">
        <v>113.82652333129602</v>
      </c>
      <c r="H44" s="106">
        <f>SUM(E44:G44)</f>
        <v>8001.4035233312961</v>
      </c>
      <c r="I44" s="102"/>
      <c r="J44" s="102">
        <v>3221.4</v>
      </c>
      <c r="K44" s="102">
        <v>774.15131240000005</v>
      </c>
      <c r="L44" s="109">
        <f>N44-J44-K44-M44</f>
        <v>277.31027254689639</v>
      </c>
      <c r="M44" s="105">
        <v>1610.288415053104</v>
      </c>
      <c r="N44" s="102">
        <v>5883.1500000000005</v>
      </c>
      <c r="O44" s="102">
        <v>2118.1880000000001</v>
      </c>
    </row>
    <row r="45" spans="1:15" ht="16.5" x14ac:dyDescent="0.2">
      <c r="A45" s="23" t="s">
        <v>34</v>
      </c>
      <c r="B45" s="106">
        <v>1662.5</v>
      </c>
      <c r="C45" s="106">
        <v>1615.2</v>
      </c>
      <c r="D45" s="106">
        <f>F45*1000/C45</f>
        <v>3812.7476473501733</v>
      </c>
      <c r="E45" s="106">
        <f>O44</f>
        <v>2118.1880000000001</v>
      </c>
      <c r="F45" s="106">
        <v>6158.35</v>
      </c>
      <c r="G45" s="109">
        <v>121.04780464882167</v>
      </c>
      <c r="H45" s="106">
        <f>SUM(E45:G45)</f>
        <v>8397.5858046488229</v>
      </c>
      <c r="I45" s="106"/>
      <c r="J45" s="106">
        <v>3357.2</v>
      </c>
      <c r="K45" s="106">
        <v>872.91017669999985</v>
      </c>
      <c r="L45" s="109">
        <f>N45-J45-K45-M45</f>
        <v>782.56198954251931</v>
      </c>
      <c r="M45" s="109">
        <v>1416.7516384063038</v>
      </c>
      <c r="N45" s="106">
        <f>H45-O45</f>
        <v>6429.4238046488226</v>
      </c>
      <c r="O45" s="106">
        <v>1968.162</v>
      </c>
    </row>
    <row r="46" spans="1:15" ht="16.5" x14ac:dyDescent="0.2">
      <c r="A46" s="17" t="s">
        <v>35</v>
      </c>
      <c r="B46" s="110">
        <v>1580</v>
      </c>
      <c r="C46" s="110">
        <v>1533</v>
      </c>
      <c r="D46" s="110">
        <f>F46*1000/C46</f>
        <v>4072.0808871493805</v>
      </c>
      <c r="E46" s="110">
        <f>O45</f>
        <v>1968.162</v>
      </c>
      <c r="F46" s="110">
        <v>6242.5</v>
      </c>
      <c r="G46" s="113">
        <v>115</v>
      </c>
      <c r="H46" s="110">
        <f>SUM(E46:G46)</f>
        <v>8325.6620000000003</v>
      </c>
      <c r="I46" s="110"/>
      <c r="J46" s="110">
        <v>3390.7563826135997</v>
      </c>
      <c r="K46" s="110">
        <v>875</v>
      </c>
      <c r="L46" s="113">
        <f>N46-J46-K46-M46</f>
        <v>642.99999999999955</v>
      </c>
      <c r="M46" s="113">
        <v>1350</v>
      </c>
      <c r="N46" s="110">
        <f>H46-O46</f>
        <v>6258.7563826135993</v>
      </c>
      <c r="O46" s="110">
        <v>2066.905617386401</v>
      </c>
    </row>
    <row r="47" spans="1:15" ht="16.5" x14ac:dyDescent="0.2">
      <c r="A47" s="58" t="s">
        <v>86</v>
      </c>
      <c r="B47" s="19"/>
      <c r="C47" s="104"/>
      <c r="D47" s="104"/>
      <c r="E47" s="104"/>
      <c r="F47" s="104"/>
      <c r="G47" s="104"/>
      <c r="H47" s="104"/>
      <c r="I47" s="19"/>
      <c r="J47" s="19"/>
      <c r="K47" s="19"/>
      <c r="L47" s="19"/>
      <c r="M47" s="19"/>
      <c r="N47" s="19"/>
      <c r="O47" s="19"/>
    </row>
    <row r="48" spans="1:15" ht="14.25" x14ac:dyDescent="0.2">
      <c r="A48" s="19" t="s">
        <v>98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25" x14ac:dyDescent="0.2">
      <c r="A49" s="19" t="s">
        <v>88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4.25" x14ac:dyDescent="0.2">
      <c r="A50" s="25" t="s">
        <v>58</v>
      </c>
      <c r="B50" s="119">
        <f ca="1">NOW()</f>
        <v>44540.67973773148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5" customHeight="1" x14ac:dyDescent="0.2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  <row r="52" spans="1:15" ht="15.75" x14ac:dyDescent="0.25">
      <c r="G52" s="84"/>
      <c r="H52" s="84"/>
    </row>
    <row r="53" spans="1:15" ht="15.75" x14ac:dyDescent="0.25">
      <c r="G53" s="84"/>
      <c r="H53" s="84"/>
    </row>
    <row r="54" spans="1:15" ht="15.75" x14ac:dyDescent="0.25">
      <c r="G54" s="84"/>
      <c r="H54" s="84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12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38"/>
  <sheetViews>
    <sheetView showGridLines="0" zoomScale="70" zoomScaleNormal="70" workbookViewId="0"/>
  </sheetViews>
  <sheetFormatPr defaultColWidth="9.140625" defaultRowHeight="12.75" x14ac:dyDescent="0.2"/>
  <cols>
    <col min="1" max="1" width="11.7109375" style="18" customWidth="1"/>
    <col min="2" max="2" width="18.85546875" style="18" bestFit="1" customWidth="1"/>
    <col min="3" max="3" width="22.140625" style="18" bestFit="1" customWidth="1"/>
    <col min="4" max="5" width="25.7109375" style="18" bestFit="1" customWidth="1"/>
    <col min="6" max="6" width="16.7109375" style="18" bestFit="1" customWidth="1"/>
    <col min="7" max="7" width="18.85546875" style="18" bestFit="1" customWidth="1"/>
    <col min="8" max="16384" width="9.140625" style="18"/>
  </cols>
  <sheetData>
    <row r="1" spans="1:8" ht="15.6" customHeight="1" x14ac:dyDescent="0.2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 x14ac:dyDescent="0.2">
      <c r="A2" s="23" t="s">
        <v>99</v>
      </c>
      <c r="B2" s="40" t="s">
        <v>100</v>
      </c>
      <c r="C2" s="40" t="s">
        <v>101</v>
      </c>
      <c r="D2" s="40" t="s">
        <v>102</v>
      </c>
      <c r="E2" s="40" t="s">
        <v>103</v>
      </c>
      <c r="F2" s="40" t="s">
        <v>104</v>
      </c>
      <c r="G2" s="40" t="s">
        <v>105</v>
      </c>
      <c r="H2" s="59"/>
    </row>
    <row r="3" spans="1:8" ht="15.6" customHeight="1" x14ac:dyDescent="0.2">
      <c r="A3" s="17" t="s">
        <v>106</v>
      </c>
      <c r="B3" s="29"/>
      <c r="C3" s="65"/>
      <c r="D3" s="65"/>
      <c r="E3" s="65"/>
      <c r="F3" s="65"/>
      <c r="G3" s="65"/>
      <c r="H3" s="59"/>
    </row>
    <row r="4" spans="1:8" ht="14.25" x14ac:dyDescent="0.2">
      <c r="A4" s="66"/>
      <c r="B4" s="67" t="s">
        <v>107</v>
      </c>
      <c r="C4" s="67" t="s">
        <v>108</v>
      </c>
      <c r="D4" s="67" t="s">
        <v>109</v>
      </c>
      <c r="E4" s="67" t="s">
        <v>109</v>
      </c>
      <c r="F4" s="67" t="s">
        <v>110</v>
      </c>
      <c r="G4" s="67" t="s">
        <v>107</v>
      </c>
      <c r="H4" s="59"/>
    </row>
    <row r="5" spans="1:8" ht="14.25" x14ac:dyDescent="0.2">
      <c r="A5" s="19"/>
      <c r="B5" s="19"/>
      <c r="C5" s="19"/>
      <c r="D5" s="21"/>
      <c r="E5" s="19"/>
      <c r="F5" s="19"/>
      <c r="G5" s="19"/>
      <c r="H5" s="59"/>
    </row>
    <row r="6" spans="1:8" ht="14.25" x14ac:dyDescent="0.2">
      <c r="A6" s="19" t="s">
        <v>111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4.25" x14ac:dyDescent="0.2">
      <c r="A7" s="19" t="s">
        <v>112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4.25" x14ac:dyDescent="0.2">
      <c r="A8" s="19" t="s">
        <v>113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4.25" x14ac:dyDescent="0.2">
      <c r="A9" s="19" t="s">
        <v>114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4.25" x14ac:dyDescent="0.2">
      <c r="A10" s="19" t="s">
        <v>115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4.25" x14ac:dyDescent="0.2">
      <c r="A11" s="19" t="s">
        <v>116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4.25" x14ac:dyDescent="0.2">
      <c r="A12" s="19" t="s">
        <v>117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4.25" x14ac:dyDescent="0.2">
      <c r="A13" s="19" t="s">
        <v>118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4.25" x14ac:dyDescent="0.2">
      <c r="A14" s="19" t="s">
        <v>119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4.25" x14ac:dyDescent="0.2">
      <c r="A15" s="19" t="s">
        <v>33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6.5" x14ac:dyDescent="0.2">
      <c r="A16" s="19" t="s">
        <v>120</v>
      </c>
      <c r="B16" s="68">
        <v>10.8</v>
      </c>
      <c r="C16" s="68">
        <v>194</v>
      </c>
      <c r="D16" s="68">
        <v>21.3</v>
      </c>
      <c r="E16" s="68">
        <v>18.400000000000002</v>
      </c>
      <c r="F16" s="68">
        <v>21</v>
      </c>
      <c r="G16" s="68">
        <v>11.102000000000002</v>
      </c>
      <c r="H16" s="59"/>
    </row>
    <row r="17" spans="1:8" ht="16.5" x14ac:dyDescent="0.2">
      <c r="A17" s="19" t="s">
        <v>121</v>
      </c>
      <c r="B17" s="68">
        <v>12.1</v>
      </c>
      <c r="C17" s="68">
        <v>240</v>
      </c>
      <c r="D17" s="68">
        <v>31.9</v>
      </c>
      <c r="E17" s="68">
        <v>32</v>
      </c>
      <c r="F17" s="68">
        <v>23</v>
      </c>
      <c r="G17" s="68">
        <v>25</v>
      </c>
      <c r="H17" s="59"/>
    </row>
    <row r="18" spans="1:8" ht="14.25" x14ac:dyDescent="0.2">
      <c r="A18" s="23"/>
      <c r="B18" s="69"/>
      <c r="C18" s="70"/>
      <c r="D18" s="71"/>
      <c r="E18" s="71"/>
      <c r="F18" s="72"/>
      <c r="G18" s="73"/>
      <c r="H18" s="60"/>
    </row>
    <row r="19" spans="1:8" ht="15" x14ac:dyDescent="0.25">
      <c r="A19" s="74" t="s">
        <v>37</v>
      </c>
      <c r="B19" s="68"/>
      <c r="C19" s="68"/>
      <c r="D19" s="68"/>
      <c r="E19" s="68"/>
      <c r="F19" s="68"/>
      <c r="G19" s="68"/>
    </row>
    <row r="20" spans="1:8" ht="14.25" x14ac:dyDescent="0.2">
      <c r="A20" s="23" t="s">
        <v>38</v>
      </c>
      <c r="B20" s="68">
        <v>9.24</v>
      </c>
      <c r="C20" s="68">
        <v>164</v>
      </c>
      <c r="D20" s="68">
        <v>23.7</v>
      </c>
      <c r="E20" s="68">
        <v>16.399999999999999</v>
      </c>
      <c r="F20" s="68">
        <v>20.5</v>
      </c>
      <c r="G20" s="68">
        <v>9.64</v>
      </c>
    </row>
    <row r="21" spans="1:8" ht="14.25" x14ac:dyDescent="0.2">
      <c r="A21" s="23" t="s">
        <v>39</v>
      </c>
      <c r="B21" s="68">
        <v>9.6300000000000008</v>
      </c>
      <c r="C21" s="68">
        <v>189</v>
      </c>
      <c r="D21" s="68">
        <v>19.100000000000001</v>
      </c>
      <c r="E21" s="68">
        <v>16.2</v>
      </c>
      <c r="F21" s="68">
        <v>20.9</v>
      </c>
      <c r="G21" s="68">
        <v>9.76</v>
      </c>
    </row>
    <row r="22" spans="1:8" ht="14.25" x14ac:dyDescent="0.2">
      <c r="A22" s="23" t="s">
        <v>40</v>
      </c>
      <c r="B22" s="68">
        <v>10.3</v>
      </c>
      <c r="C22" s="68">
        <v>199</v>
      </c>
      <c r="D22" s="68">
        <v>18.899999999999999</v>
      </c>
      <c r="E22" s="68">
        <v>18.100000000000001</v>
      </c>
      <c r="F22" s="68">
        <v>21.2</v>
      </c>
      <c r="G22" s="68">
        <v>10.7</v>
      </c>
    </row>
    <row r="23" spans="1:8" ht="14.25" x14ac:dyDescent="0.2">
      <c r="A23" s="23" t="s">
        <v>42</v>
      </c>
      <c r="B23" s="68">
        <v>10.6</v>
      </c>
      <c r="C23" s="68">
        <v>195</v>
      </c>
      <c r="D23" s="68">
        <v>19.2</v>
      </c>
      <c r="E23" s="68">
        <v>17.2</v>
      </c>
      <c r="F23" s="68">
        <v>20.399999999999999</v>
      </c>
      <c r="G23" s="68">
        <v>10.9</v>
      </c>
    </row>
    <row r="24" spans="1:8" ht="14.25" x14ac:dyDescent="0.2">
      <c r="A24" s="23" t="s">
        <v>43</v>
      </c>
      <c r="B24" s="68">
        <v>10.9</v>
      </c>
      <c r="C24" s="68">
        <v>209</v>
      </c>
      <c r="D24" s="68">
        <v>19.5</v>
      </c>
      <c r="E24" s="68">
        <v>18.8</v>
      </c>
      <c r="F24" s="68">
        <v>20.5</v>
      </c>
      <c r="G24" s="68">
        <v>12</v>
      </c>
    </row>
    <row r="25" spans="1:8" ht="14.25" x14ac:dyDescent="0.2">
      <c r="A25" s="23" t="s">
        <v>44</v>
      </c>
      <c r="B25" s="68">
        <v>12.7</v>
      </c>
      <c r="C25" s="68">
        <v>185</v>
      </c>
      <c r="D25" s="68">
        <v>21.4</v>
      </c>
      <c r="E25" s="68">
        <v>20.399999999999999</v>
      </c>
      <c r="F25" s="68">
        <v>20.5</v>
      </c>
      <c r="G25" s="68">
        <v>13.2</v>
      </c>
    </row>
    <row r="26" spans="1:8" ht="14.25" x14ac:dyDescent="0.2">
      <c r="A26" s="23" t="s">
        <v>46</v>
      </c>
      <c r="B26" s="68">
        <v>13.2</v>
      </c>
      <c r="C26" s="68" t="s">
        <v>77</v>
      </c>
      <c r="D26" s="68">
        <v>21.5</v>
      </c>
      <c r="E26" s="68">
        <v>22</v>
      </c>
      <c r="F26" s="68">
        <v>21.2</v>
      </c>
      <c r="G26" s="68">
        <v>15.7</v>
      </c>
    </row>
    <row r="27" spans="1:8" ht="14.25" x14ac:dyDescent="0.2">
      <c r="A27" s="23" t="s">
        <v>47</v>
      </c>
      <c r="B27" s="68">
        <v>13.9</v>
      </c>
      <c r="C27" s="68" t="s">
        <v>77</v>
      </c>
      <c r="D27" s="68">
        <v>23.7</v>
      </c>
      <c r="E27" s="68">
        <v>23.8</v>
      </c>
      <c r="F27" s="68">
        <v>21.4</v>
      </c>
      <c r="G27" s="68">
        <v>18.100000000000001</v>
      </c>
    </row>
    <row r="28" spans="1:8" ht="14.25" x14ac:dyDescent="0.2">
      <c r="A28" s="23" t="s">
        <v>48</v>
      </c>
      <c r="B28" s="68">
        <v>14.8</v>
      </c>
      <c r="C28" s="68" t="s">
        <v>77</v>
      </c>
      <c r="D28" s="68">
        <v>26.4</v>
      </c>
      <c r="E28" s="68">
        <v>26.1</v>
      </c>
      <c r="F28" s="68">
        <v>21.3</v>
      </c>
      <c r="G28" s="68">
        <v>18.3</v>
      </c>
    </row>
    <row r="29" spans="1:8" ht="14.25" x14ac:dyDescent="0.2">
      <c r="A29" s="23" t="s">
        <v>50</v>
      </c>
      <c r="B29" s="68">
        <v>14.5</v>
      </c>
      <c r="C29" s="68" t="s">
        <v>77</v>
      </c>
      <c r="D29" s="68">
        <v>28.4</v>
      </c>
      <c r="E29" s="68">
        <v>26</v>
      </c>
      <c r="F29" s="68">
        <v>21.3</v>
      </c>
      <c r="G29" s="68">
        <v>19.899999999999999</v>
      </c>
    </row>
    <row r="30" spans="1:8" ht="14.25" x14ac:dyDescent="0.2">
      <c r="A30" s="23" t="s">
        <v>51</v>
      </c>
      <c r="B30" s="68">
        <v>14.1</v>
      </c>
      <c r="C30" s="68" t="s">
        <v>77</v>
      </c>
      <c r="D30" s="68">
        <v>28</v>
      </c>
      <c r="E30" s="68">
        <v>27.7</v>
      </c>
      <c r="F30" s="68">
        <v>21.6</v>
      </c>
      <c r="G30" s="68">
        <v>20.100000000000001</v>
      </c>
    </row>
    <row r="31" spans="1:8" ht="14.25" x14ac:dyDescent="0.2">
      <c r="A31" s="23" t="s">
        <v>52</v>
      </c>
      <c r="B31" s="68">
        <v>13.7</v>
      </c>
      <c r="C31" s="68">
        <v>255</v>
      </c>
      <c r="D31" s="68">
        <v>29.4</v>
      </c>
      <c r="E31" s="68">
        <v>30.9</v>
      </c>
      <c r="F31" s="68">
        <v>21.3</v>
      </c>
      <c r="G31" s="68">
        <v>20.2</v>
      </c>
    </row>
    <row r="32" spans="1:8" ht="14.25" x14ac:dyDescent="0.2">
      <c r="A32" s="23"/>
      <c r="B32" s="68"/>
      <c r="C32" s="68"/>
      <c r="D32" s="68"/>
      <c r="E32" s="68"/>
      <c r="F32" s="68"/>
      <c r="G32" s="68"/>
    </row>
    <row r="33" spans="1:7" ht="15" x14ac:dyDescent="0.25">
      <c r="A33" s="74" t="s">
        <v>54</v>
      </c>
      <c r="B33" s="68"/>
      <c r="C33" s="68"/>
      <c r="D33" s="68"/>
      <c r="E33" s="68"/>
      <c r="F33" s="68"/>
      <c r="G33" s="68"/>
    </row>
    <row r="34" spans="1:7" ht="14.25" x14ac:dyDescent="0.2">
      <c r="A34" s="23" t="s">
        <v>38</v>
      </c>
      <c r="B34" s="68">
        <v>12.2</v>
      </c>
      <c r="C34" s="68">
        <v>235</v>
      </c>
      <c r="D34" s="68">
        <v>30.7</v>
      </c>
      <c r="E34" s="68">
        <v>28.7</v>
      </c>
      <c r="F34" s="68">
        <v>22.3</v>
      </c>
      <c r="G34" s="68">
        <v>19.8</v>
      </c>
    </row>
    <row r="35" spans="1:7" ht="14.25" x14ac:dyDescent="0.2">
      <c r="A35" s="17" t="s">
        <v>39</v>
      </c>
      <c r="B35" s="16">
        <v>11.9</v>
      </c>
      <c r="C35" s="16">
        <v>244</v>
      </c>
      <c r="D35" s="16">
        <v>30.5</v>
      </c>
      <c r="E35" s="16">
        <v>29.5</v>
      </c>
      <c r="F35" s="16">
        <v>24</v>
      </c>
      <c r="G35" s="16">
        <v>25.1</v>
      </c>
    </row>
    <row r="36" spans="1:7" ht="16.5" x14ac:dyDescent="0.2">
      <c r="A36" s="19" t="s">
        <v>122</v>
      </c>
      <c r="B36" s="19"/>
      <c r="C36" s="19"/>
      <c r="D36" s="19"/>
      <c r="E36" s="19"/>
      <c r="F36" s="19"/>
      <c r="G36" s="19"/>
    </row>
    <row r="37" spans="1:7" ht="14.25" x14ac:dyDescent="0.2">
      <c r="A37" s="19" t="s">
        <v>123</v>
      </c>
      <c r="B37" s="19"/>
      <c r="C37" s="19"/>
      <c r="D37" s="19"/>
      <c r="E37" s="19"/>
      <c r="F37" s="19"/>
      <c r="G37" s="19"/>
    </row>
    <row r="38" spans="1:7" ht="14.25" x14ac:dyDescent="0.2">
      <c r="A38" s="25" t="s">
        <v>58</v>
      </c>
      <c r="B38" s="50">
        <f ca="1">NOW()</f>
        <v>44540.67973773148</v>
      </c>
      <c r="C38" s="19"/>
      <c r="D38" s="19"/>
      <c r="E38" s="19"/>
      <c r="F38" s="19"/>
      <c r="G38" s="19"/>
    </row>
  </sheetData>
  <phoneticPr fontId="12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J59"/>
  <sheetViews>
    <sheetView showGridLines="0" zoomScale="70" zoomScaleNormal="70" workbookViewId="0"/>
  </sheetViews>
  <sheetFormatPr defaultColWidth="9.140625" defaultRowHeight="12.75" x14ac:dyDescent="0.2"/>
  <cols>
    <col min="1" max="2" width="11.7109375" style="18" customWidth="1"/>
    <col min="3" max="3" width="11.5703125" style="18" customWidth="1"/>
    <col min="4" max="4" width="13.7109375" style="18" customWidth="1"/>
    <col min="5" max="5" width="10.5703125" style="18" customWidth="1"/>
    <col min="6" max="6" width="11.5703125" style="18" bestFit="1" customWidth="1"/>
    <col min="7" max="7" width="10.7109375" style="18" customWidth="1"/>
    <col min="8" max="9" width="10.5703125" style="18" customWidth="1"/>
    <col min="10" max="11" width="9.140625" style="18"/>
    <col min="12" max="12" width="22.28515625" style="18" bestFit="1" customWidth="1"/>
    <col min="13" max="13" width="20.28515625" style="18" bestFit="1" customWidth="1"/>
    <col min="14" max="16384" width="9.140625" style="18"/>
  </cols>
  <sheetData>
    <row r="1" spans="1:9" ht="14.25" x14ac:dyDescent="0.2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 x14ac:dyDescent="0.2">
      <c r="A2" s="75" t="s">
        <v>99</v>
      </c>
      <c r="B2" s="40" t="s">
        <v>124</v>
      </c>
      <c r="C2" s="40" t="s">
        <v>125</v>
      </c>
      <c r="D2" s="40" t="s">
        <v>126</v>
      </c>
      <c r="E2" s="76" t="s">
        <v>127</v>
      </c>
      <c r="F2" s="76" t="s">
        <v>128</v>
      </c>
      <c r="G2" s="40" t="s">
        <v>129</v>
      </c>
      <c r="H2" s="40" t="s">
        <v>130</v>
      </c>
      <c r="I2" s="77" t="s">
        <v>131</v>
      </c>
    </row>
    <row r="3" spans="1:9" ht="15.6" customHeight="1" x14ac:dyDescent="0.2">
      <c r="A3" s="78" t="s">
        <v>106</v>
      </c>
      <c r="B3" s="28" t="s">
        <v>132</v>
      </c>
      <c r="C3" s="28" t="s">
        <v>133</v>
      </c>
      <c r="D3" s="28" t="s">
        <v>134</v>
      </c>
      <c r="E3" s="28" t="s">
        <v>134</v>
      </c>
      <c r="F3" s="28" t="s">
        <v>135</v>
      </c>
      <c r="G3" s="28" t="s">
        <v>135</v>
      </c>
      <c r="H3" s="28"/>
      <c r="I3" s="28" t="s">
        <v>136</v>
      </c>
    </row>
    <row r="4" spans="1:9" ht="14.25" x14ac:dyDescent="0.2">
      <c r="A4" s="19"/>
      <c r="B4" s="79" t="s">
        <v>137</v>
      </c>
      <c r="C4" s="80"/>
      <c r="D4" s="80"/>
      <c r="E4" s="80"/>
      <c r="F4" s="80"/>
      <c r="G4" s="80"/>
      <c r="H4" s="80"/>
      <c r="I4" s="80"/>
    </row>
    <row r="5" spans="1:9" ht="14.25" x14ac:dyDescent="0.2">
      <c r="A5" s="19"/>
      <c r="B5" s="19"/>
      <c r="C5" s="19"/>
      <c r="D5" s="19"/>
      <c r="E5" s="19"/>
      <c r="F5" s="19"/>
      <c r="G5" s="19"/>
      <c r="H5" s="19"/>
      <c r="I5" s="19"/>
    </row>
    <row r="6" spans="1:9" ht="14.25" x14ac:dyDescent="0.2">
      <c r="A6" s="19" t="s">
        <v>111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4.25" x14ac:dyDescent="0.2">
      <c r="A7" s="19" t="s">
        <v>112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4.25" x14ac:dyDescent="0.2">
      <c r="A8" s="19" t="s">
        <v>113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4.25" x14ac:dyDescent="0.2">
      <c r="A9" s="19" t="s">
        <v>114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4.25" x14ac:dyDescent="0.2">
      <c r="A10" s="19" t="s">
        <v>115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4.25" x14ac:dyDescent="0.2">
      <c r="A11" s="19" t="s">
        <v>116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4.25" x14ac:dyDescent="0.2">
      <c r="A12" s="19" t="s">
        <v>117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4.25" x14ac:dyDescent="0.2">
      <c r="A13" s="19" t="s">
        <v>118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4.25" x14ac:dyDescent="0.2">
      <c r="A14" s="19" t="s">
        <v>119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4.25" x14ac:dyDescent="0.2">
      <c r="A15" s="19" t="s">
        <v>33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6.5" x14ac:dyDescent="0.2">
      <c r="A16" s="19" t="s">
        <v>138</v>
      </c>
      <c r="B16" s="68">
        <v>56.87</v>
      </c>
      <c r="C16" s="68">
        <v>80.94</v>
      </c>
      <c r="D16" s="68">
        <v>79.000000000000014</v>
      </c>
      <c r="E16" s="68">
        <v>70.459999999999994</v>
      </c>
      <c r="F16" s="68">
        <v>101.4</v>
      </c>
      <c r="G16" s="68">
        <v>44</v>
      </c>
      <c r="H16" s="68">
        <v>43.5</v>
      </c>
      <c r="I16" s="68">
        <v>39</v>
      </c>
    </row>
    <row r="17" spans="1:10" ht="16.5" x14ac:dyDescent="0.2">
      <c r="A17" s="19" t="s">
        <v>139</v>
      </c>
      <c r="B17" s="68">
        <v>65</v>
      </c>
      <c r="C17" s="68">
        <v>95</v>
      </c>
      <c r="D17" s="68">
        <v>100</v>
      </c>
      <c r="E17" s="68">
        <v>80</v>
      </c>
      <c r="F17" s="68">
        <v>105</v>
      </c>
      <c r="G17" s="68">
        <v>78</v>
      </c>
      <c r="H17" s="68">
        <v>56</v>
      </c>
      <c r="I17" s="68">
        <v>58</v>
      </c>
    </row>
    <row r="18" spans="1:10" ht="14.25" x14ac:dyDescent="0.2">
      <c r="A18" s="19"/>
      <c r="B18" s="38"/>
      <c r="C18" s="70"/>
      <c r="D18" s="81"/>
      <c r="E18" s="81"/>
      <c r="F18" s="81"/>
      <c r="G18" s="81"/>
      <c r="H18" s="19"/>
      <c r="I18" s="19"/>
    </row>
    <row r="19" spans="1:10" ht="15" x14ac:dyDescent="0.25">
      <c r="A19" s="41" t="s">
        <v>37</v>
      </c>
      <c r="B19" s="68"/>
      <c r="C19" s="68"/>
      <c r="D19" s="68"/>
      <c r="E19" s="68"/>
      <c r="F19" s="68"/>
      <c r="G19" s="68"/>
      <c r="H19" s="68"/>
      <c r="I19" s="68"/>
    </row>
    <row r="20" spans="1:10" ht="14.25" x14ac:dyDescent="0.2">
      <c r="A20" s="23" t="s">
        <v>39</v>
      </c>
      <c r="B20" s="68">
        <v>33.909999999999997</v>
      </c>
      <c r="C20" s="68">
        <v>48.35</v>
      </c>
      <c r="D20" s="68">
        <v>57</v>
      </c>
      <c r="E20" s="68">
        <v>44.35</v>
      </c>
      <c r="F20" s="68">
        <v>93</v>
      </c>
      <c r="G20" s="68">
        <v>42.4375</v>
      </c>
      <c r="H20" s="68" t="s">
        <v>77</v>
      </c>
      <c r="I20" s="68">
        <v>34.5</v>
      </c>
    </row>
    <row r="21" spans="1:10" ht="14.25" x14ac:dyDescent="0.2">
      <c r="A21" s="23" t="s">
        <v>40</v>
      </c>
      <c r="B21" s="68">
        <v>37.79</v>
      </c>
      <c r="C21" s="68">
        <v>54.4375</v>
      </c>
      <c r="D21" s="68" t="s">
        <v>77</v>
      </c>
      <c r="E21" s="68">
        <v>49.5</v>
      </c>
      <c r="F21" s="68">
        <v>98.75</v>
      </c>
      <c r="G21" s="68">
        <v>42.524999999999999</v>
      </c>
      <c r="H21" s="68">
        <v>41</v>
      </c>
      <c r="I21" s="68">
        <v>34</v>
      </c>
    </row>
    <row r="22" spans="1:10" ht="14.25" x14ac:dyDescent="0.2">
      <c r="A22" s="23" t="s">
        <v>42</v>
      </c>
      <c r="B22" s="68">
        <v>40.85</v>
      </c>
      <c r="C22" s="68">
        <v>59.2</v>
      </c>
      <c r="D22" s="68" t="s">
        <v>77</v>
      </c>
      <c r="E22" s="68">
        <v>51.65</v>
      </c>
      <c r="F22" s="68">
        <v>100</v>
      </c>
      <c r="G22" s="68">
        <v>41.725000000000001</v>
      </c>
      <c r="H22" s="68" t="s">
        <v>77</v>
      </c>
      <c r="I22" s="68">
        <v>36.25</v>
      </c>
    </row>
    <row r="23" spans="1:10" ht="14.25" x14ac:dyDescent="0.2">
      <c r="A23" s="23" t="s">
        <v>43</v>
      </c>
      <c r="B23" s="68">
        <v>44.31</v>
      </c>
      <c r="C23" s="68">
        <v>63.1875</v>
      </c>
      <c r="D23" s="68" t="s">
        <v>77</v>
      </c>
      <c r="E23" s="68">
        <v>53.3125</v>
      </c>
      <c r="F23" s="68">
        <v>90</v>
      </c>
      <c r="G23" s="68">
        <v>43.337499999999999</v>
      </c>
      <c r="H23" s="68" t="s">
        <v>77</v>
      </c>
      <c r="I23" s="68">
        <v>48.129999999999995</v>
      </c>
    </row>
    <row r="24" spans="1:10" ht="14.25" x14ac:dyDescent="0.2">
      <c r="A24" s="23" t="s">
        <v>44</v>
      </c>
      <c r="B24" s="68">
        <v>48.37</v>
      </c>
      <c r="C24" s="68">
        <v>73.625</v>
      </c>
      <c r="D24" s="68" t="s">
        <v>77</v>
      </c>
      <c r="E24" s="68">
        <v>58.9375</v>
      </c>
      <c r="F24" s="68">
        <v>93</v>
      </c>
      <c r="G24" s="68">
        <v>44.945</v>
      </c>
      <c r="H24" s="68" t="s">
        <v>77</v>
      </c>
      <c r="I24" s="68">
        <v>53.125</v>
      </c>
    </row>
    <row r="25" spans="1:10" ht="14.25" x14ac:dyDescent="0.2">
      <c r="A25" s="23" t="s">
        <v>46</v>
      </c>
      <c r="B25" s="68">
        <v>56</v>
      </c>
      <c r="C25" s="68">
        <v>86.9375</v>
      </c>
      <c r="D25" s="68" t="s">
        <v>77</v>
      </c>
      <c r="E25" s="68">
        <v>71.3125</v>
      </c>
      <c r="F25" s="68">
        <v>105.25</v>
      </c>
      <c r="G25" s="68">
        <v>52.05</v>
      </c>
      <c r="H25" s="68">
        <v>55</v>
      </c>
      <c r="I25" s="68">
        <v>55.943333333333328</v>
      </c>
    </row>
    <row r="26" spans="1:10" ht="14.25" x14ac:dyDescent="0.2">
      <c r="A26" s="23" t="s">
        <v>47</v>
      </c>
      <c r="B26" s="68">
        <v>62.88</v>
      </c>
      <c r="C26" s="68">
        <v>92.65</v>
      </c>
      <c r="D26" s="68">
        <v>83</v>
      </c>
      <c r="E26" s="68">
        <v>79.55</v>
      </c>
      <c r="F26" s="68">
        <v>109.2</v>
      </c>
      <c r="G26" s="68">
        <v>59.8125</v>
      </c>
      <c r="H26" s="68" t="s">
        <v>77</v>
      </c>
      <c r="I26" s="68">
        <v>59.3825</v>
      </c>
    </row>
    <row r="27" spans="1:10" ht="14.25" x14ac:dyDescent="0.2">
      <c r="A27" s="23" t="s">
        <v>48</v>
      </c>
      <c r="B27" s="68">
        <v>74.75</v>
      </c>
      <c r="C27" s="68">
        <v>102.1875</v>
      </c>
      <c r="D27" s="68">
        <v>83</v>
      </c>
      <c r="E27" s="68">
        <v>94.0625</v>
      </c>
      <c r="F27" s="68">
        <v>110</v>
      </c>
      <c r="G27" s="68">
        <v>68.25</v>
      </c>
      <c r="H27" s="68">
        <v>58</v>
      </c>
      <c r="I27" s="68">
        <v>64.724999999999994</v>
      </c>
      <c r="J27" s="85"/>
    </row>
    <row r="28" spans="1:10" ht="14.25" x14ac:dyDescent="0.2">
      <c r="A28" s="23" t="s">
        <v>50</v>
      </c>
      <c r="B28" s="68">
        <v>74.75</v>
      </c>
      <c r="C28" s="68">
        <v>100.6875</v>
      </c>
      <c r="D28" s="68" t="s">
        <v>77</v>
      </c>
      <c r="E28" s="68">
        <v>93.5</v>
      </c>
      <c r="F28" s="68">
        <v>108.1875</v>
      </c>
      <c r="G28" s="68">
        <v>67.599999999999994</v>
      </c>
      <c r="H28" s="68" t="s">
        <v>77</v>
      </c>
      <c r="I28" s="68">
        <v>63.666666666666664</v>
      </c>
    </row>
    <row r="29" spans="1:10" ht="14.25" x14ac:dyDescent="0.2">
      <c r="A29" s="23" t="s">
        <v>51</v>
      </c>
      <c r="B29" s="68">
        <v>72.930000000000007</v>
      </c>
      <c r="C29" s="68">
        <v>99.9</v>
      </c>
      <c r="D29" s="68" t="s">
        <v>77</v>
      </c>
      <c r="E29" s="68">
        <v>92.3</v>
      </c>
      <c r="F29" s="68">
        <v>106</v>
      </c>
      <c r="G29" s="68">
        <v>66.094999999999999</v>
      </c>
      <c r="H29" s="68" t="s">
        <v>77</v>
      </c>
      <c r="I29" s="68">
        <v>66.333333333333329</v>
      </c>
    </row>
    <row r="30" spans="1:10" ht="14.25" x14ac:dyDescent="0.2">
      <c r="A30" s="23" t="s">
        <v>52</v>
      </c>
      <c r="B30" s="68">
        <v>70.010000000000005</v>
      </c>
      <c r="C30" s="68">
        <v>96.5</v>
      </c>
      <c r="D30" s="68" t="s">
        <v>77</v>
      </c>
      <c r="E30" s="68">
        <v>81</v>
      </c>
      <c r="F30" s="68">
        <v>108.75</v>
      </c>
      <c r="G30" s="68">
        <v>64.156000000000006</v>
      </c>
      <c r="H30" s="68">
        <v>72.333333333333329</v>
      </c>
      <c r="I30" s="68">
        <v>72</v>
      </c>
    </row>
    <row r="31" spans="1:10" ht="14.25" x14ac:dyDescent="0.2">
      <c r="A31" s="23" t="s">
        <v>38</v>
      </c>
      <c r="B31" s="68">
        <v>65.930000000000007</v>
      </c>
      <c r="C31" s="68">
        <v>93.625</v>
      </c>
      <c r="D31" s="68" t="s">
        <v>77</v>
      </c>
      <c r="E31" s="68">
        <v>76</v>
      </c>
      <c r="F31" s="68">
        <v>105</v>
      </c>
      <c r="G31" s="68">
        <v>53.184999999999995</v>
      </c>
      <c r="H31" s="68" t="s">
        <v>77</v>
      </c>
      <c r="I31" s="68">
        <v>71.75</v>
      </c>
    </row>
    <row r="32" spans="1:10" ht="14.25" x14ac:dyDescent="0.2">
      <c r="A32" s="23"/>
      <c r="B32" s="68"/>
      <c r="C32" s="68"/>
      <c r="D32" s="68"/>
      <c r="E32" s="68"/>
      <c r="F32" s="68"/>
      <c r="G32" s="68"/>
      <c r="H32" s="68"/>
      <c r="I32" s="68"/>
    </row>
    <row r="33" spans="1:9" ht="15" x14ac:dyDescent="0.25">
      <c r="A33" s="55" t="s">
        <v>54</v>
      </c>
      <c r="B33" s="68"/>
      <c r="C33" s="68"/>
      <c r="D33" s="68"/>
      <c r="E33" s="68"/>
      <c r="F33" s="68"/>
      <c r="G33" s="68"/>
      <c r="H33" s="68"/>
      <c r="I33" s="68"/>
    </row>
    <row r="34" spans="1:9" ht="14.25" x14ac:dyDescent="0.2">
      <c r="A34" s="23" t="s">
        <v>39</v>
      </c>
      <c r="B34" s="68">
        <v>70.42</v>
      </c>
      <c r="C34" s="68">
        <v>98.5</v>
      </c>
      <c r="D34" s="68">
        <v>129</v>
      </c>
      <c r="E34" s="68">
        <v>82.3</v>
      </c>
      <c r="F34" s="68">
        <v>101.5</v>
      </c>
      <c r="G34" s="68">
        <v>57.069999999999993</v>
      </c>
      <c r="H34" s="68" t="s">
        <v>77</v>
      </c>
      <c r="I34" s="68" t="s">
        <v>77</v>
      </c>
    </row>
    <row r="35" spans="1:9" ht="14.25" x14ac:dyDescent="0.2">
      <c r="A35" s="17" t="s">
        <v>40</v>
      </c>
      <c r="B35" s="16">
        <v>66.459999999999994</v>
      </c>
      <c r="C35" s="16">
        <v>96.75</v>
      </c>
      <c r="D35" s="16">
        <v>125</v>
      </c>
      <c r="E35" s="16">
        <v>84.375</v>
      </c>
      <c r="F35" s="16">
        <v>100</v>
      </c>
      <c r="G35" s="16">
        <v>57.918000000000006</v>
      </c>
      <c r="H35" s="16" t="s">
        <v>77</v>
      </c>
      <c r="I35" s="16">
        <v>80.06</v>
      </c>
    </row>
    <row r="36" spans="1:9" ht="16.5" x14ac:dyDescent="0.2">
      <c r="A36" s="58" t="s">
        <v>140</v>
      </c>
      <c r="B36" s="83"/>
      <c r="C36" s="83"/>
      <c r="D36" s="83"/>
      <c r="E36" s="83"/>
      <c r="F36" s="83"/>
      <c r="G36" s="83"/>
      <c r="H36" s="83"/>
      <c r="I36" s="83"/>
    </row>
    <row r="37" spans="1:9" ht="16.5" x14ac:dyDescent="0.2">
      <c r="A37" s="19" t="s">
        <v>141</v>
      </c>
      <c r="B37" s="83"/>
      <c r="C37" s="83"/>
      <c r="D37" s="83"/>
      <c r="E37" s="83"/>
      <c r="F37" s="83"/>
      <c r="G37" s="83"/>
      <c r="H37" s="83"/>
      <c r="I37" s="83"/>
    </row>
    <row r="38" spans="1:9" ht="14.25" x14ac:dyDescent="0.2">
      <c r="A38" s="19" t="s">
        <v>142</v>
      </c>
      <c r="B38" s="19"/>
      <c r="C38" s="19"/>
      <c r="D38" s="19"/>
      <c r="E38" s="19"/>
      <c r="F38" s="83"/>
      <c r="G38" s="19"/>
      <c r="H38" s="19"/>
      <c r="I38" s="19"/>
    </row>
    <row r="39" spans="1:9" ht="14.25" x14ac:dyDescent="0.2">
      <c r="A39" s="25" t="s">
        <v>58</v>
      </c>
      <c r="B39" s="50">
        <f ca="1">NOW()</f>
        <v>44540.67973773148</v>
      </c>
      <c r="C39" s="19"/>
      <c r="D39" s="19"/>
      <c r="E39" s="19"/>
      <c r="F39" s="19"/>
      <c r="G39" s="19"/>
      <c r="H39" s="19"/>
      <c r="I39" s="19"/>
    </row>
    <row r="40" spans="1:9" ht="15.75" x14ac:dyDescent="0.25">
      <c r="C40" s="84"/>
      <c r="G40" s="84"/>
      <c r="H40" s="84"/>
      <c r="I40" s="84"/>
    </row>
    <row r="41" spans="1:9" ht="15.75" x14ac:dyDescent="0.25">
      <c r="B41" s="85"/>
      <c r="C41" s="84"/>
      <c r="G41" s="84"/>
      <c r="H41" s="84"/>
      <c r="I41" s="84"/>
    </row>
    <row r="42" spans="1:9" ht="15.75" x14ac:dyDescent="0.25">
      <c r="B42" s="85"/>
      <c r="C42" s="125"/>
      <c r="G42" s="84"/>
      <c r="H42" s="84"/>
      <c r="I42" s="84"/>
    </row>
    <row r="43" spans="1:9" ht="15.75" x14ac:dyDescent="0.25">
      <c r="C43" s="84"/>
      <c r="G43" s="84"/>
      <c r="H43" s="84"/>
      <c r="I43" s="84"/>
    </row>
    <row r="44" spans="1:9" ht="15.75" x14ac:dyDescent="0.25">
      <c r="C44" s="84"/>
      <c r="G44" s="84"/>
      <c r="H44" s="84"/>
      <c r="I44" s="84"/>
    </row>
    <row r="45" spans="1:9" ht="15.75" x14ac:dyDescent="0.25">
      <c r="C45" s="84"/>
      <c r="G45" s="84"/>
      <c r="H45" s="84"/>
      <c r="I45" s="84"/>
    </row>
    <row r="46" spans="1:9" ht="15.75" x14ac:dyDescent="0.25">
      <c r="C46" s="84"/>
      <c r="G46" s="84"/>
      <c r="H46" s="84"/>
      <c r="I46" s="84"/>
    </row>
    <row r="47" spans="1:9" ht="15.75" x14ac:dyDescent="0.25">
      <c r="C47" s="84"/>
      <c r="G47" s="84"/>
      <c r="H47" s="84"/>
      <c r="I47" s="84"/>
    </row>
    <row r="48" spans="1:9" ht="15.75" x14ac:dyDescent="0.25">
      <c r="C48" s="84"/>
      <c r="G48" s="84"/>
      <c r="H48" s="84"/>
      <c r="I48" s="84"/>
    </row>
    <row r="49" spans="3:9" ht="15.75" x14ac:dyDescent="0.25">
      <c r="C49" s="84"/>
      <c r="G49" s="84"/>
      <c r="H49" s="84"/>
      <c r="I49" s="84"/>
    </row>
    <row r="50" spans="3:9" ht="15.75" x14ac:dyDescent="0.25">
      <c r="C50" s="84"/>
      <c r="G50" s="84"/>
      <c r="H50" s="84"/>
      <c r="I50" s="84"/>
    </row>
    <row r="51" spans="3:9" ht="15.75" x14ac:dyDescent="0.25">
      <c r="C51" s="84"/>
      <c r="G51" s="84"/>
      <c r="H51" s="84"/>
      <c r="I51" s="84"/>
    </row>
    <row r="52" spans="3:9" ht="15.75" x14ac:dyDescent="0.25">
      <c r="C52" s="84"/>
      <c r="G52" s="84"/>
      <c r="H52" s="84"/>
      <c r="I52" s="84"/>
    </row>
    <row r="53" spans="3:9" ht="15.75" x14ac:dyDescent="0.25">
      <c r="C53" s="84"/>
      <c r="G53" s="84"/>
      <c r="H53" s="84"/>
      <c r="I53" s="84"/>
    </row>
    <row r="54" spans="3:9" ht="15.75" x14ac:dyDescent="0.25">
      <c r="C54" s="84"/>
      <c r="G54" s="84"/>
      <c r="H54" s="84"/>
      <c r="I54" s="84"/>
    </row>
    <row r="55" spans="3:9" ht="15.75" x14ac:dyDescent="0.25">
      <c r="C55" s="84"/>
      <c r="G55" s="84"/>
      <c r="H55" s="84"/>
      <c r="I55" s="84"/>
    </row>
    <row r="56" spans="3:9" ht="15.75" x14ac:dyDescent="0.25">
      <c r="C56" s="84"/>
      <c r="H56" s="84"/>
      <c r="I56" s="84"/>
    </row>
    <row r="57" spans="3:9" ht="15.75" x14ac:dyDescent="0.25">
      <c r="C57" s="84"/>
      <c r="H57" s="84"/>
      <c r="I57" s="84"/>
    </row>
    <row r="58" spans="3:9" ht="15.75" x14ac:dyDescent="0.25">
      <c r="C58" s="84"/>
      <c r="F58" s="85"/>
      <c r="H58" s="84"/>
      <c r="I58" s="84"/>
    </row>
    <row r="59" spans="3:9" ht="15.75" x14ac:dyDescent="0.25">
      <c r="F59" s="85"/>
      <c r="H59" s="84"/>
      <c r="I59" s="84"/>
    </row>
  </sheetData>
  <phoneticPr fontId="12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1"/>
  <sheetViews>
    <sheetView showGridLines="0" zoomScale="70" zoomScaleNormal="70" workbookViewId="0"/>
  </sheetViews>
  <sheetFormatPr defaultColWidth="9.140625" defaultRowHeight="12.75" x14ac:dyDescent="0.2"/>
  <cols>
    <col min="1" max="1" width="11.7109375" style="18" customWidth="1"/>
    <col min="2" max="7" width="13.7109375" style="18" customWidth="1"/>
    <col min="8" max="8" width="10.140625" style="18" bestFit="1" customWidth="1"/>
    <col min="9" max="9" width="9.140625" style="18"/>
    <col min="10" max="10" width="20.28515625" style="18" bestFit="1" customWidth="1"/>
    <col min="11" max="13" width="9.140625" style="18"/>
    <col min="14" max="14" width="8.85546875" style="18" customWidth="1"/>
    <col min="15" max="15" width="18" style="18" bestFit="1" customWidth="1"/>
    <col min="16" max="16384" width="9.140625" style="18"/>
  </cols>
  <sheetData>
    <row r="1" spans="1:31" ht="14.25" x14ac:dyDescent="0.2">
      <c r="A1" s="17" t="s">
        <v>10</v>
      </c>
      <c r="B1" s="17"/>
      <c r="C1" s="17"/>
      <c r="D1" s="17"/>
      <c r="E1" s="17"/>
      <c r="F1" s="17"/>
      <c r="G1" s="17"/>
    </row>
    <row r="2" spans="1:31" ht="15.6" customHeight="1" x14ac:dyDescent="0.2">
      <c r="A2" s="23" t="s">
        <v>99</v>
      </c>
      <c r="B2" s="40" t="s">
        <v>124</v>
      </c>
      <c r="C2" s="86" t="s">
        <v>125</v>
      </c>
      <c r="D2" s="86" t="s">
        <v>126</v>
      </c>
      <c r="E2" s="86" t="s">
        <v>128</v>
      </c>
      <c r="F2" s="40" t="s">
        <v>143</v>
      </c>
      <c r="G2" s="21" t="s">
        <v>144</v>
      </c>
      <c r="AE2" s="87"/>
    </row>
    <row r="3" spans="1:31" ht="15.6" customHeight="1" x14ac:dyDescent="0.2">
      <c r="A3" s="17" t="s">
        <v>106</v>
      </c>
      <c r="B3" s="28" t="s">
        <v>145</v>
      </c>
      <c r="C3" s="28" t="s">
        <v>146</v>
      </c>
      <c r="D3" s="28" t="s">
        <v>147</v>
      </c>
      <c r="E3" s="28" t="s">
        <v>148</v>
      </c>
      <c r="F3" s="28" t="s">
        <v>149</v>
      </c>
      <c r="G3" s="28" t="s">
        <v>150</v>
      </c>
      <c r="AE3" s="87"/>
    </row>
    <row r="4" spans="1:31" ht="14.25" x14ac:dyDescent="0.2">
      <c r="A4" s="19"/>
      <c r="B4" s="79" t="s">
        <v>151</v>
      </c>
      <c r="C4" s="80"/>
      <c r="D4" s="80"/>
      <c r="E4" s="80"/>
      <c r="F4" s="80"/>
      <c r="G4" s="80"/>
      <c r="AE4" s="87"/>
    </row>
    <row r="5" spans="1:31" ht="14.25" x14ac:dyDescent="0.2">
      <c r="A5" s="19"/>
      <c r="B5" s="19"/>
      <c r="C5" s="19"/>
      <c r="D5" s="19"/>
      <c r="E5" s="19"/>
      <c r="F5" s="19"/>
      <c r="G5" s="19"/>
      <c r="AE5" s="87"/>
    </row>
    <row r="6" spans="1:31" ht="14.25" x14ac:dyDescent="0.2">
      <c r="A6" s="19" t="s">
        <v>111</v>
      </c>
      <c r="B6" s="68">
        <v>345.52</v>
      </c>
      <c r="C6" s="68">
        <v>273.83999999999997</v>
      </c>
      <c r="D6" s="68">
        <v>219.72</v>
      </c>
      <c r="E6" s="88" t="s">
        <v>77</v>
      </c>
      <c r="F6" s="68">
        <v>263.63</v>
      </c>
      <c r="G6" s="68">
        <v>240.65</v>
      </c>
      <c r="AE6" s="87"/>
    </row>
    <row r="7" spans="1:31" ht="14.25" x14ac:dyDescent="0.2">
      <c r="A7" s="19" t="s">
        <v>112</v>
      </c>
      <c r="B7" s="68">
        <v>393.53</v>
      </c>
      <c r="C7" s="68">
        <v>275.13</v>
      </c>
      <c r="D7" s="68">
        <v>246.75</v>
      </c>
      <c r="E7" s="88" t="s">
        <v>77</v>
      </c>
      <c r="F7" s="68">
        <v>307.58999999999997</v>
      </c>
      <c r="G7" s="68">
        <v>265.68</v>
      </c>
      <c r="AE7" s="87"/>
    </row>
    <row r="8" spans="1:31" ht="14.25" x14ac:dyDescent="0.2">
      <c r="A8" s="19" t="s">
        <v>113</v>
      </c>
      <c r="B8" s="68">
        <v>468.11</v>
      </c>
      <c r="C8" s="68">
        <v>331.52</v>
      </c>
      <c r="D8" s="68">
        <v>241.57</v>
      </c>
      <c r="E8" s="88" t="s">
        <v>77</v>
      </c>
      <c r="F8" s="68">
        <v>354.22</v>
      </c>
      <c r="G8" s="68">
        <v>329.31</v>
      </c>
      <c r="AE8" s="87"/>
    </row>
    <row r="9" spans="1:31" ht="14.25" x14ac:dyDescent="0.2">
      <c r="A9" s="19" t="s">
        <v>114</v>
      </c>
      <c r="B9" s="68">
        <v>489.94</v>
      </c>
      <c r="C9" s="68">
        <v>377.71</v>
      </c>
      <c r="D9" s="68">
        <v>238.87</v>
      </c>
      <c r="E9" s="88" t="s">
        <v>77</v>
      </c>
      <c r="F9" s="68">
        <v>359.7</v>
      </c>
      <c r="G9" s="68">
        <v>337.23</v>
      </c>
      <c r="AE9" s="87"/>
    </row>
    <row r="10" spans="1:31" ht="14.25" x14ac:dyDescent="0.2">
      <c r="A10" s="19" t="s">
        <v>115</v>
      </c>
      <c r="B10" s="68">
        <v>368.49</v>
      </c>
      <c r="C10" s="68">
        <v>304.27</v>
      </c>
      <c r="D10" s="68">
        <v>209.97</v>
      </c>
      <c r="E10" s="88" t="s">
        <v>77</v>
      </c>
      <c r="F10" s="68">
        <v>301.2</v>
      </c>
      <c r="G10" s="68">
        <v>256.58</v>
      </c>
      <c r="AE10" s="87"/>
    </row>
    <row r="11" spans="1:31" ht="14.25" x14ac:dyDescent="0.2">
      <c r="A11" s="19" t="s">
        <v>116</v>
      </c>
      <c r="B11" s="68">
        <v>324.56</v>
      </c>
      <c r="C11" s="68">
        <v>261.19</v>
      </c>
      <c r="D11" s="68">
        <v>153.16999999999999</v>
      </c>
      <c r="E11" s="88" t="s">
        <v>77</v>
      </c>
      <c r="F11" s="68">
        <v>262.2</v>
      </c>
      <c r="G11" s="68">
        <v>260.23</v>
      </c>
      <c r="AE11" s="87"/>
    </row>
    <row r="12" spans="1:31" ht="14.25" x14ac:dyDescent="0.2">
      <c r="A12" s="19" t="s">
        <v>117</v>
      </c>
      <c r="B12" s="68">
        <v>316.88</v>
      </c>
      <c r="C12" s="68">
        <v>208.61</v>
      </c>
      <c r="D12" s="68">
        <v>145.1</v>
      </c>
      <c r="E12" s="88" t="s">
        <v>77</v>
      </c>
      <c r="F12" s="68">
        <v>267.94</v>
      </c>
      <c r="G12" s="68">
        <v>282.49</v>
      </c>
      <c r="AE12" s="87"/>
    </row>
    <row r="13" spans="1:31" ht="14.25" x14ac:dyDescent="0.2">
      <c r="A13" s="19" t="s">
        <v>118</v>
      </c>
      <c r="B13" s="68">
        <v>345.02</v>
      </c>
      <c r="C13" s="68">
        <v>260.88</v>
      </c>
      <c r="D13" s="68">
        <v>173.53</v>
      </c>
      <c r="E13" s="88" t="s">
        <v>77</v>
      </c>
      <c r="F13" s="68">
        <v>291.14999999999998</v>
      </c>
      <c r="G13" s="68">
        <v>239.15</v>
      </c>
    </row>
    <row r="14" spans="1:31" ht="14.25" x14ac:dyDescent="0.2">
      <c r="A14" s="19" t="s">
        <v>119</v>
      </c>
      <c r="B14" s="68">
        <v>308.27999999999997</v>
      </c>
      <c r="C14" s="68">
        <v>228.64</v>
      </c>
      <c r="D14" s="82">
        <v>164.16</v>
      </c>
      <c r="E14" s="88" t="s">
        <v>77</v>
      </c>
      <c r="F14" s="68">
        <v>272.38</v>
      </c>
      <c r="G14" s="68">
        <v>225.77</v>
      </c>
    </row>
    <row r="15" spans="1:31" ht="14.25" x14ac:dyDescent="0.2">
      <c r="A15" s="19" t="s">
        <v>33</v>
      </c>
      <c r="B15" s="68">
        <v>299.5</v>
      </c>
      <c r="C15" s="68">
        <v>247.04</v>
      </c>
      <c r="D15" s="82">
        <v>187.7</v>
      </c>
      <c r="E15" s="88" t="s">
        <v>77</v>
      </c>
      <c r="F15" s="68">
        <v>273.99</v>
      </c>
      <c r="G15" s="68">
        <v>245.88</v>
      </c>
    </row>
    <row r="16" spans="1:31" ht="16.5" x14ac:dyDescent="0.2">
      <c r="A16" s="19" t="s">
        <v>152</v>
      </c>
      <c r="B16" s="68">
        <v>392.31</v>
      </c>
      <c r="C16" s="68">
        <v>375.51</v>
      </c>
      <c r="D16" s="82">
        <v>246.22</v>
      </c>
      <c r="E16" s="88" t="s">
        <v>77</v>
      </c>
      <c r="F16" s="68">
        <v>351.87</v>
      </c>
      <c r="G16" s="68">
        <v>288.12</v>
      </c>
    </row>
    <row r="17" spans="1:16" ht="16.5" x14ac:dyDescent="0.2">
      <c r="A17" s="19" t="s">
        <v>153</v>
      </c>
      <c r="B17" s="68">
        <v>330</v>
      </c>
      <c r="C17" s="68">
        <v>300</v>
      </c>
      <c r="D17" s="82">
        <v>230</v>
      </c>
      <c r="E17" s="88" t="s">
        <v>77</v>
      </c>
      <c r="F17" s="68">
        <v>325</v>
      </c>
      <c r="G17" s="68">
        <v>230</v>
      </c>
    </row>
    <row r="18" spans="1:16" ht="15" x14ac:dyDescent="0.2">
      <c r="A18" s="23"/>
      <c r="B18" s="68"/>
      <c r="C18" s="68"/>
      <c r="D18" s="68"/>
      <c r="E18" s="88"/>
      <c r="F18" s="68"/>
      <c r="G18" s="68"/>
      <c r="I18" s="89"/>
      <c r="J18" s="91"/>
      <c r="K18" s="91"/>
      <c r="L18" s="89"/>
      <c r="M18" s="91"/>
      <c r="N18" s="91"/>
      <c r="O18" s="91"/>
      <c r="P18" s="91"/>
    </row>
    <row r="19" spans="1:16" ht="15" x14ac:dyDescent="0.25">
      <c r="A19" s="41" t="s">
        <v>37</v>
      </c>
      <c r="B19" s="68"/>
      <c r="C19" s="68"/>
      <c r="D19" s="68"/>
      <c r="E19" s="88"/>
      <c r="F19" s="68"/>
      <c r="G19" s="68"/>
      <c r="I19" s="90"/>
      <c r="J19" s="91"/>
      <c r="K19" s="91"/>
      <c r="L19" s="89"/>
      <c r="M19" s="89"/>
      <c r="P19" s="91"/>
    </row>
    <row r="20" spans="1:16" ht="15" x14ac:dyDescent="0.2">
      <c r="A20" s="19" t="s">
        <v>39</v>
      </c>
      <c r="B20" s="68">
        <v>367.11</v>
      </c>
      <c r="C20" s="68">
        <v>301.88</v>
      </c>
      <c r="D20" s="68">
        <v>211.25</v>
      </c>
      <c r="E20" s="88" t="s">
        <v>77</v>
      </c>
      <c r="F20" s="68">
        <v>327.24</v>
      </c>
      <c r="G20" s="68">
        <v>239.375</v>
      </c>
      <c r="H20" s="92"/>
      <c r="I20" s="89"/>
      <c r="J20" s="91"/>
      <c r="K20" s="91"/>
      <c r="L20" s="89"/>
      <c r="M20" s="89"/>
      <c r="P20" s="91"/>
    </row>
    <row r="21" spans="1:16" ht="15" x14ac:dyDescent="0.2">
      <c r="A21" s="19" t="s">
        <v>40</v>
      </c>
      <c r="B21" s="68">
        <v>387.83</v>
      </c>
      <c r="C21" s="68">
        <v>365.63</v>
      </c>
      <c r="D21" s="68">
        <v>216.25</v>
      </c>
      <c r="E21" s="88" t="s">
        <v>77</v>
      </c>
      <c r="F21" s="68">
        <v>333.89</v>
      </c>
      <c r="G21" s="68">
        <v>253.75</v>
      </c>
      <c r="H21" s="92"/>
      <c r="I21" s="89"/>
      <c r="J21" s="19"/>
      <c r="K21" s="91"/>
      <c r="L21" s="89"/>
      <c r="M21" s="89"/>
    </row>
    <row r="22" spans="1:16" ht="15" x14ac:dyDescent="0.2">
      <c r="A22" s="19" t="s">
        <v>42</v>
      </c>
      <c r="B22" s="68">
        <v>396.68</v>
      </c>
      <c r="C22" s="68">
        <v>435.83</v>
      </c>
      <c r="D22" s="68">
        <v>252.5</v>
      </c>
      <c r="E22" s="88" t="s">
        <v>77</v>
      </c>
      <c r="F22" s="68">
        <v>338.55</v>
      </c>
      <c r="G22" s="68">
        <v>275</v>
      </c>
      <c r="H22" s="92"/>
      <c r="I22" s="89"/>
      <c r="J22" s="19"/>
      <c r="K22" s="91"/>
      <c r="L22" s="89"/>
    </row>
    <row r="23" spans="1:16" ht="15" x14ac:dyDescent="0.2">
      <c r="A23" s="23" t="s">
        <v>43</v>
      </c>
      <c r="B23" s="68">
        <v>439.24</v>
      </c>
      <c r="C23" s="68">
        <v>443.75</v>
      </c>
      <c r="D23" s="68">
        <v>280.63</v>
      </c>
      <c r="E23" s="88" t="s">
        <v>77</v>
      </c>
      <c r="F23" s="68">
        <v>387.53</v>
      </c>
      <c r="G23" s="68">
        <v>313.125</v>
      </c>
      <c r="I23" s="89"/>
      <c r="J23" s="91"/>
      <c r="K23" s="91"/>
      <c r="L23" s="91"/>
      <c r="M23" s="91"/>
      <c r="N23" s="91"/>
    </row>
    <row r="24" spans="1:16" ht="15" x14ac:dyDescent="0.25">
      <c r="A24" s="23" t="s">
        <v>44</v>
      </c>
      <c r="B24" s="68">
        <v>427.28</v>
      </c>
      <c r="C24" s="68">
        <v>460</v>
      </c>
      <c r="D24" s="68">
        <v>291.88</v>
      </c>
      <c r="E24" s="88" t="s">
        <v>77</v>
      </c>
      <c r="F24" s="68">
        <v>376.07499999999999</v>
      </c>
      <c r="G24" s="68">
        <v>296.25</v>
      </c>
      <c r="I24" s="89"/>
      <c r="J24" s="93"/>
      <c r="K24" s="91"/>
      <c r="L24" s="89"/>
      <c r="M24" s="89"/>
      <c r="O24" s="91"/>
    </row>
    <row r="25" spans="1:16" ht="15" x14ac:dyDescent="0.2">
      <c r="A25" s="23" t="s">
        <v>46</v>
      </c>
      <c r="B25" s="68">
        <v>410.02</v>
      </c>
      <c r="C25" s="68">
        <v>456</v>
      </c>
      <c r="D25" s="68">
        <v>279.5</v>
      </c>
      <c r="E25" s="88" t="s">
        <v>77</v>
      </c>
      <c r="F25" s="68">
        <v>365.14</v>
      </c>
      <c r="G25" s="68">
        <v>322</v>
      </c>
      <c r="I25" s="89"/>
      <c r="J25" s="23"/>
      <c r="K25" s="89"/>
      <c r="L25" s="89"/>
      <c r="M25" s="89"/>
      <c r="O25" s="91"/>
    </row>
    <row r="26" spans="1:16" ht="15" x14ac:dyDescent="0.25">
      <c r="A26" s="23" t="s">
        <v>47</v>
      </c>
      <c r="B26" s="68">
        <v>413.36</v>
      </c>
      <c r="C26" s="68">
        <v>415</v>
      </c>
      <c r="D26" s="68">
        <v>258.125</v>
      </c>
      <c r="E26" s="88" t="s">
        <v>77</v>
      </c>
      <c r="F26" s="68">
        <v>377.57499999999999</v>
      </c>
      <c r="G26" s="68">
        <v>318.75</v>
      </c>
      <c r="I26" s="41"/>
      <c r="J26" s="23"/>
      <c r="K26" s="89"/>
      <c r="L26" s="89"/>
      <c r="M26" s="89"/>
      <c r="O26" s="91"/>
    </row>
    <row r="27" spans="1:16" ht="15" x14ac:dyDescent="0.2">
      <c r="A27" s="23" t="s">
        <v>48</v>
      </c>
      <c r="B27" s="68">
        <v>421.03</v>
      </c>
      <c r="C27" s="68">
        <v>360.625</v>
      </c>
      <c r="D27" s="68">
        <v>265</v>
      </c>
      <c r="E27" s="88" t="s">
        <v>77</v>
      </c>
      <c r="F27" s="68">
        <v>391.45</v>
      </c>
      <c r="G27" s="68">
        <v>335.63</v>
      </c>
      <c r="I27" s="19"/>
      <c r="J27" s="23"/>
      <c r="K27" s="89"/>
      <c r="L27" s="89"/>
      <c r="M27" s="89"/>
      <c r="O27" s="91"/>
    </row>
    <row r="28" spans="1:16" ht="15" x14ac:dyDescent="0.2">
      <c r="A28" s="23" t="s">
        <v>50</v>
      </c>
      <c r="B28" s="68">
        <v>378.18</v>
      </c>
      <c r="C28" s="68">
        <v>337.5</v>
      </c>
      <c r="D28" s="68">
        <v>252.5</v>
      </c>
      <c r="E28" s="88" t="s">
        <v>77</v>
      </c>
      <c r="F28" s="68">
        <v>345.9</v>
      </c>
      <c r="G28" s="68">
        <v>293.5</v>
      </c>
      <c r="I28" s="19"/>
      <c r="J28" s="23"/>
      <c r="K28" s="89"/>
      <c r="L28" s="89"/>
      <c r="M28" s="89"/>
      <c r="O28" s="91"/>
    </row>
    <row r="29" spans="1:16" ht="15" x14ac:dyDescent="0.2">
      <c r="A29" s="23" t="s">
        <v>51</v>
      </c>
      <c r="B29" s="68">
        <v>365.23</v>
      </c>
      <c r="C29" s="68">
        <v>321.875</v>
      </c>
      <c r="D29" s="68">
        <v>206.25</v>
      </c>
      <c r="E29" s="88" t="s">
        <v>77</v>
      </c>
      <c r="F29" s="68">
        <v>326.67499999999995</v>
      </c>
      <c r="G29" s="68">
        <v>262.5</v>
      </c>
      <c r="I29" s="19"/>
      <c r="J29" s="23"/>
      <c r="K29" s="89"/>
      <c r="L29" s="89"/>
      <c r="M29" s="89"/>
      <c r="O29" s="91"/>
    </row>
    <row r="30" spans="1:16" ht="15" x14ac:dyDescent="0.2">
      <c r="A30" s="23" t="s">
        <v>52</v>
      </c>
      <c r="B30" s="68">
        <v>358.21</v>
      </c>
      <c r="C30" s="68">
        <v>303</v>
      </c>
      <c r="D30" s="68">
        <v>219.5</v>
      </c>
      <c r="E30" s="88" t="s">
        <v>77</v>
      </c>
      <c r="F30" s="68">
        <v>329.45</v>
      </c>
      <c r="G30" s="68">
        <v>287.5</v>
      </c>
      <c r="I30" s="19"/>
      <c r="J30" s="23"/>
      <c r="K30" s="89"/>
      <c r="L30" s="89"/>
      <c r="M30" s="89"/>
      <c r="O30" s="91"/>
    </row>
    <row r="31" spans="1:16" ht="15" x14ac:dyDescent="0.2">
      <c r="A31" s="23" t="s">
        <v>38</v>
      </c>
      <c r="B31" s="68">
        <v>343.55</v>
      </c>
      <c r="C31" s="68">
        <v>305</v>
      </c>
      <c r="D31" s="68">
        <v>221.25</v>
      </c>
      <c r="E31" s="88" t="s">
        <v>77</v>
      </c>
      <c r="F31" s="68">
        <v>322.96249999999998</v>
      </c>
      <c r="G31" s="68">
        <v>260</v>
      </c>
      <c r="I31" s="19"/>
      <c r="J31" s="23"/>
      <c r="K31" s="89"/>
      <c r="L31" s="89"/>
      <c r="M31" s="89"/>
      <c r="O31" s="91"/>
    </row>
    <row r="32" spans="1:16" ht="14.25" x14ac:dyDescent="0.2">
      <c r="A32" s="23"/>
      <c r="B32" s="68"/>
      <c r="C32" s="68"/>
      <c r="D32" s="68"/>
      <c r="E32" s="68"/>
      <c r="F32" s="68"/>
      <c r="G32" s="68"/>
      <c r="H32" s="68"/>
      <c r="I32" s="68"/>
    </row>
    <row r="33" spans="1:13" ht="15" x14ac:dyDescent="0.25">
      <c r="A33" s="55" t="s">
        <v>54</v>
      </c>
      <c r="B33" s="68"/>
      <c r="C33" s="68"/>
      <c r="D33" s="68"/>
      <c r="E33" s="68"/>
      <c r="F33" s="68"/>
      <c r="G33" s="68"/>
      <c r="H33" s="68"/>
      <c r="I33" s="68"/>
    </row>
    <row r="34" spans="1:13" ht="14.25" x14ac:dyDescent="0.2">
      <c r="A34" s="23" t="s">
        <v>39</v>
      </c>
      <c r="B34" s="68">
        <v>325.43</v>
      </c>
      <c r="C34" s="68">
        <v>298.75</v>
      </c>
      <c r="D34" s="68">
        <v>222.5</v>
      </c>
      <c r="E34" s="88" t="s">
        <v>77</v>
      </c>
      <c r="F34" s="68">
        <v>322.82499999999999</v>
      </c>
      <c r="G34" s="68">
        <v>265.625</v>
      </c>
      <c r="H34" s="68"/>
      <c r="I34" s="68"/>
    </row>
    <row r="35" spans="1:13" ht="14.25" x14ac:dyDescent="0.2">
      <c r="A35" s="17" t="s">
        <v>40</v>
      </c>
      <c r="B35" s="16">
        <v>358.73</v>
      </c>
      <c r="C35" s="16">
        <v>304.5</v>
      </c>
      <c r="D35" s="16">
        <v>256.5</v>
      </c>
      <c r="E35" s="134" t="s">
        <v>77</v>
      </c>
      <c r="F35" s="16">
        <v>350.21999999999997</v>
      </c>
      <c r="G35" s="16">
        <v>252</v>
      </c>
      <c r="H35" s="68"/>
      <c r="I35" s="68"/>
    </row>
    <row r="36" spans="1:13" ht="16.5" x14ac:dyDescent="0.2">
      <c r="A36" s="58" t="s">
        <v>154</v>
      </c>
      <c r="B36" s="94"/>
      <c r="C36" s="94"/>
      <c r="D36" s="94"/>
      <c r="E36" s="94"/>
      <c r="F36" s="94"/>
      <c r="G36" s="94"/>
      <c r="I36" s="19"/>
      <c r="J36" s="89"/>
      <c r="K36" s="89"/>
      <c r="L36" s="89"/>
    </row>
    <row r="37" spans="1:13" ht="16.5" x14ac:dyDescent="0.2">
      <c r="A37" s="58" t="s">
        <v>155</v>
      </c>
      <c r="B37" s="95"/>
      <c r="C37" s="95"/>
      <c r="D37" s="95"/>
      <c r="E37" s="95"/>
      <c r="F37" s="95"/>
      <c r="G37" s="95"/>
      <c r="I37" s="19"/>
      <c r="J37" s="68"/>
      <c r="K37" s="89"/>
      <c r="L37" s="89"/>
      <c r="M37" s="89"/>
    </row>
    <row r="38" spans="1:13" ht="14.25" x14ac:dyDescent="0.2">
      <c r="A38" s="19"/>
      <c r="B38" s="95"/>
      <c r="C38" s="95"/>
      <c r="D38" s="95"/>
      <c r="E38" s="95"/>
      <c r="F38" s="95"/>
      <c r="G38" s="95"/>
      <c r="H38" s="59"/>
      <c r="I38" s="23"/>
      <c r="J38" s="68"/>
      <c r="K38" s="89"/>
      <c r="L38" s="89"/>
      <c r="M38" s="89"/>
    </row>
    <row r="39" spans="1:13" ht="14.25" x14ac:dyDescent="0.2">
      <c r="A39" s="19" t="s">
        <v>156</v>
      </c>
      <c r="B39" s="19"/>
      <c r="C39" s="19"/>
      <c r="D39" s="19"/>
      <c r="E39" s="19"/>
      <c r="F39" s="95"/>
      <c r="G39" s="95"/>
      <c r="I39" s="23"/>
      <c r="J39" s="68"/>
      <c r="K39" s="89"/>
      <c r="L39" s="89"/>
      <c r="M39" s="89"/>
    </row>
    <row r="40" spans="1:13" ht="14.25" x14ac:dyDescent="0.2">
      <c r="A40" s="25" t="s">
        <v>58</v>
      </c>
      <c r="B40" s="50">
        <f ca="1">NOW()</f>
        <v>44540.67973773148</v>
      </c>
      <c r="C40" s="19"/>
      <c r="D40" s="19"/>
      <c r="E40" s="19"/>
      <c r="F40" s="95"/>
      <c r="G40" s="95"/>
      <c r="I40" s="23"/>
      <c r="J40" s="68"/>
      <c r="K40" s="96"/>
      <c r="L40" s="96"/>
      <c r="M40" s="96"/>
    </row>
    <row r="41" spans="1:13" ht="14.25" x14ac:dyDescent="0.2">
      <c r="F41" s="95"/>
      <c r="G41" s="95"/>
      <c r="I41" s="23"/>
      <c r="J41" s="68"/>
      <c r="K41" s="96"/>
      <c r="L41" s="96"/>
      <c r="M41" s="96"/>
    </row>
    <row r="42" spans="1:13" ht="14.25" x14ac:dyDescent="0.2">
      <c r="F42" s="95"/>
      <c r="G42" s="95"/>
      <c r="I42" s="23"/>
      <c r="J42" s="68"/>
      <c r="K42" s="89"/>
      <c r="L42" s="89"/>
      <c r="M42" s="89"/>
    </row>
    <row r="43" spans="1:13" x14ac:dyDescent="0.2">
      <c r="I43" s="97"/>
      <c r="J43" s="97"/>
      <c r="K43" s="89"/>
      <c r="L43" s="89"/>
      <c r="M43" s="89"/>
    </row>
    <row r="44" spans="1:13" x14ac:dyDescent="0.2">
      <c r="I44" s="98"/>
      <c r="J44" s="98"/>
      <c r="K44" s="89"/>
      <c r="L44" s="89"/>
      <c r="M44" s="89"/>
    </row>
    <row r="45" spans="1:13" x14ac:dyDescent="0.2">
      <c r="I45" s="98"/>
      <c r="J45" s="98"/>
      <c r="K45" s="89"/>
      <c r="L45" s="89"/>
      <c r="M45" s="89"/>
    </row>
    <row r="46" spans="1:13" x14ac:dyDescent="0.2">
      <c r="I46" s="98"/>
      <c r="J46" s="98"/>
      <c r="K46" s="89"/>
      <c r="L46" s="89"/>
      <c r="M46" s="89"/>
    </row>
    <row r="47" spans="1:13" x14ac:dyDescent="0.2">
      <c r="I47" s="98"/>
      <c r="J47" s="98"/>
      <c r="K47" s="89"/>
      <c r="L47" s="89"/>
      <c r="M47" s="89"/>
    </row>
    <row r="49" spans="9:13" x14ac:dyDescent="0.2">
      <c r="I49" s="99"/>
      <c r="J49" s="99"/>
      <c r="K49" s="99"/>
      <c r="L49" s="99"/>
      <c r="M49" s="99"/>
    </row>
    <row r="50" spans="9:13" x14ac:dyDescent="0.2">
      <c r="I50" s="99"/>
      <c r="J50" s="99"/>
      <c r="K50" s="99"/>
      <c r="L50" s="99"/>
      <c r="M50" s="99"/>
    </row>
    <row r="51" spans="9:13" x14ac:dyDescent="0.2">
      <c r="J51" s="99"/>
    </row>
  </sheetData>
  <phoneticPr fontId="12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A614F-86D5-499D-A4F0-1FA417923D2A}">
  <dimension ref="A1:E43"/>
  <sheetViews>
    <sheetView topLeftCell="B1" zoomScaleNormal="100" workbookViewId="0">
      <selection activeCell="B1" sqref="B1"/>
    </sheetView>
  </sheetViews>
  <sheetFormatPr defaultColWidth="8.85546875" defaultRowHeight="12.75" x14ac:dyDescent="0.2"/>
  <cols>
    <col min="1" max="1" width="10.42578125" style="127" customWidth="1"/>
    <col min="2" max="2" width="7.7109375" style="127" bestFit="1" customWidth="1"/>
    <col min="3" max="4" width="8.85546875" style="127"/>
    <col min="5" max="5" width="10.7109375" style="127" customWidth="1"/>
    <col min="6" max="16384" width="8.85546875" style="127"/>
  </cols>
  <sheetData>
    <row r="1" spans="1:5" ht="38.25" x14ac:dyDescent="0.2">
      <c r="A1" s="126" t="s">
        <v>157</v>
      </c>
      <c r="B1" s="126" t="s">
        <v>158</v>
      </c>
      <c r="C1" s="126" t="s">
        <v>164</v>
      </c>
      <c r="D1" s="126" t="s">
        <v>29</v>
      </c>
      <c r="E1" s="126" t="s">
        <v>25</v>
      </c>
    </row>
    <row r="2" spans="1:5" x14ac:dyDescent="0.2">
      <c r="A2" s="128" t="s">
        <v>118</v>
      </c>
      <c r="B2" s="130">
        <v>7333.71</v>
      </c>
      <c r="C2" s="130">
        <v>14046.500607507569</v>
      </c>
      <c r="D2" s="130">
        <v>2443.0375649191838</v>
      </c>
      <c r="E2" s="130">
        <v>23772.428</v>
      </c>
    </row>
    <row r="3" spans="1:5" x14ac:dyDescent="0.2">
      <c r="A3" s="128" t="s">
        <v>119</v>
      </c>
      <c r="B3" s="130">
        <v>8663.2999999999993</v>
      </c>
      <c r="C3" s="130">
        <v>14210.857005018133</v>
      </c>
      <c r="D3" s="130">
        <v>1940.4219679927719</v>
      </c>
      <c r="E3" s="130">
        <v>24197.199000000001</v>
      </c>
    </row>
    <row r="4" spans="1:5" x14ac:dyDescent="0.2">
      <c r="A4" s="128" t="s">
        <v>33</v>
      </c>
      <c r="B4" s="130">
        <v>8657.82</v>
      </c>
      <c r="C4" s="130">
        <v>13659.14198267788</v>
      </c>
      <c r="D4" s="130">
        <v>2836.6907911634057</v>
      </c>
      <c r="E4" s="130">
        <v>24911.125</v>
      </c>
    </row>
    <row r="5" spans="1:5" x14ac:dyDescent="0.2">
      <c r="A5" s="128" t="s">
        <v>37</v>
      </c>
      <c r="B5" s="130">
        <v>8850</v>
      </c>
      <c r="C5" s="130">
        <v>14426.981507567336</v>
      </c>
      <c r="D5" s="130">
        <v>1723.4987866846579</v>
      </c>
      <c r="E5" s="130">
        <v>25022.667000000001</v>
      </c>
    </row>
    <row r="6" spans="1:5" x14ac:dyDescent="0.2">
      <c r="A6" s="128" t="s">
        <v>54</v>
      </c>
      <c r="B6" s="130">
        <v>11000</v>
      </c>
      <c r="C6" s="130">
        <v>14150</v>
      </c>
      <c r="D6" s="130">
        <v>1250</v>
      </c>
      <c r="E6" s="130">
        <v>25735</v>
      </c>
    </row>
    <row r="7" spans="1:5" x14ac:dyDescent="0.2">
      <c r="A7" s="128"/>
      <c r="B7" s="131"/>
    </row>
    <row r="8" spans="1:5" x14ac:dyDescent="0.2">
      <c r="A8" s="128"/>
      <c r="B8" s="129"/>
    </row>
    <row r="9" spans="1:5" x14ac:dyDescent="0.2">
      <c r="A9" s="128"/>
      <c r="B9" s="129"/>
    </row>
    <row r="10" spans="1:5" x14ac:dyDescent="0.2">
      <c r="B10" s="129"/>
    </row>
    <row r="11" spans="1:5" x14ac:dyDescent="0.2">
      <c r="B11" s="129"/>
    </row>
    <row r="12" spans="1:5" x14ac:dyDescent="0.2">
      <c r="B12" s="129"/>
    </row>
    <row r="13" spans="1:5" x14ac:dyDescent="0.2">
      <c r="B13" s="129"/>
    </row>
    <row r="14" spans="1:5" x14ac:dyDescent="0.2">
      <c r="B14" s="129"/>
    </row>
    <row r="15" spans="1:5" x14ac:dyDescent="0.2">
      <c r="B15" s="129"/>
    </row>
    <row r="16" spans="1:5" x14ac:dyDescent="0.2">
      <c r="B16" s="129"/>
    </row>
    <row r="17" spans="2:2" x14ac:dyDescent="0.2">
      <c r="B17" s="130"/>
    </row>
    <row r="18" spans="2:2" x14ac:dyDescent="0.2">
      <c r="B18" s="130"/>
    </row>
    <row r="19" spans="2:2" x14ac:dyDescent="0.2">
      <c r="B19" s="130"/>
    </row>
    <row r="20" spans="2:2" x14ac:dyDescent="0.2">
      <c r="B20" s="130"/>
    </row>
    <row r="21" spans="2:2" x14ac:dyDescent="0.2">
      <c r="B21" s="130"/>
    </row>
    <row r="22" spans="2:2" x14ac:dyDescent="0.2">
      <c r="B22" s="130"/>
    </row>
    <row r="23" spans="2:2" x14ac:dyDescent="0.2">
      <c r="B23" s="130"/>
    </row>
    <row r="24" spans="2:2" x14ac:dyDescent="0.2">
      <c r="B24" s="130"/>
    </row>
    <row r="25" spans="2:2" x14ac:dyDescent="0.2">
      <c r="B25" s="130"/>
    </row>
    <row r="26" spans="2:2" x14ac:dyDescent="0.2">
      <c r="B26" s="130"/>
    </row>
    <row r="27" spans="2:2" x14ac:dyDescent="0.2">
      <c r="B27" s="130"/>
    </row>
    <row r="28" spans="2:2" x14ac:dyDescent="0.2">
      <c r="B28" s="130"/>
    </row>
    <row r="29" spans="2:2" x14ac:dyDescent="0.2">
      <c r="B29" s="130"/>
    </row>
    <row r="30" spans="2:2" x14ac:dyDescent="0.2">
      <c r="B30" s="130"/>
    </row>
    <row r="31" spans="2:2" x14ac:dyDescent="0.2">
      <c r="B31" s="130"/>
    </row>
    <row r="32" spans="2:2" x14ac:dyDescent="0.2">
      <c r="B32" s="130"/>
    </row>
    <row r="33" spans="2:2" x14ac:dyDescent="0.2">
      <c r="B33" s="130"/>
    </row>
    <row r="34" spans="2:2" x14ac:dyDescent="0.2">
      <c r="B34" s="130"/>
    </row>
    <row r="35" spans="2:2" x14ac:dyDescent="0.2">
      <c r="B35" s="130"/>
    </row>
    <row r="36" spans="2:2" x14ac:dyDescent="0.2">
      <c r="B36" s="130"/>
    </row>
    <row r="37" spans="2:2" x14ac:dyDescent="0.2">
      <c r="B37" s="130"/>
    </row>
    <row r="38" spans="2:2" x14ac:dyDescent="0.2">
      <c r="B38" s="130"/>
    </row>
    <row r="39" spans="2:2" x14ac:dyDescent="0.2">
      <c r="B39" s="130"/>
    </row>
    <row r="40" spans="2:2" x14ac:dyDescent="0.2">
      <c r="B40" s="130"/>
    </row>
    <row r="41" spans="2:2" x14ac:dyDescent="0.2">
      <c r="B41" s="130"/>
    </row>
    <row r="42" spans="2:2" x14ac:dyDescent="0.2">
      <c r="B42" s="130"/>
    </row>
    <row r="43" spans="2:2" x14ac:dyDescent="0.2">
      <c r="B43" s="130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52a62a5d-c671-4f59-8453-00a85cb6d91a"/>
    <ds:schemaRef ds:uri="http://purl.org/dc/dcmitype/"/>
    <ds:schemaRef ds:uri="http://schemas.microsoft.com/office/2006/documentManagement/types"/>
    <ds:schemaRef ds:uri="http://schemas.microsoft.com/office/infopath/2007/PartnerControls"/>
    <ds:schemaRef ds:uri="3c1da50d-9398-43ae-99ce-979307744be1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33B626-EC00-43C6-98C5-1C0183C1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da50d-9398-43ae-99ce-979307744be1"/>
    <ds:schemaRef ds:uri="52a62a5d-c671-4f59-8453-00a85cb6d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Figure 6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Ates, Aaron - REE-ERS, Kansas City, MO</cp:lastModifiedBy>
  <cp:revision/>
  <dcterms:created xsi:type="dcterms:W3CDTF">2001-11-13T16:22:15Z</dcterms:created>
  <dcterms:modified xsi:type="dcterms:W3CDTF">2021-12-10T22:31:44Z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