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dice.wilson\OneDrive - USDA\Outlooks\March 2021\"/>
    </mc:Choice>
  </mc:AlternateContent>
  <xr:revisionPtr revIDLastSave="0" documentId="6_{19EC7547-760A-4BC2-B12D-3D4F1DBF5C2D}" xr6:coauthVersionLast="45" xr6:coauthVersionMax="45" xr10:uidLastSave="{00000000-0000-0000-0000-000000000000}"/>
  <bookViews>
    <workbookView xWindow="-108" yWindow="-108" windowWidth="23256" windowHeight="12576" tabRatio="682" firstSheet="5" activeTab="8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5" r:id="rId9"/>
    <sheet name="Oil Crops Chart Gallery Fig 1" sheetId="20" r:id="rId10"/>
    <sheet name="Oil Crops Chart Gallery Fig 2" sheetId="18" r:id="rId11"/>
    <sheet name="Oil Crops Chart Gallery Fig 3" sheetId="19" r:id="rId12"/>
  </sheets>
  <definedNames>
    <definedName name="_xlnm.Print_Area" localSheetId="1">'Table 1'!$A$1:$N$40</definedName>
    <definedName name="_xlnm.Print_Area" localSheetId="7">'Table 10'!$A$1:$G$40</definedName>
    <definedName name="_xlnm.Print_Area" localSheetId="2">'Table 2'!$A$1:$J$32</definedName>
    <definedName name="_xlnm.Print_Area" localSheetId="3">'Table 3'!$A$1:$M$47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4-7'!$A$1:$O$53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E12" i="2"/>
  <c r="C11" i="2"/>
  <c r="I36" i="3" l="1"/>
  <c r="L9" i="9"/>
  <c r="K9" i="9"/>
  <c r="G9" i="9" s="1"/>
  <c r="I9" i="9" s="1"/>
  <c r="E9" i="9"/>
  <c r="L23" i="9"/>
  <c r="K24" i="9"/>
  <c r="H24" i="9"/>
  <c r="H8" i="9"/>
  <c r="E23" i="3"/>
  <c r="D24" i="9"/>
  <c r="B8" i="9"/>
  <c r="C8" i="9"/>
  <c r="J31" i="9"/>
  <c r="H31" i="9"/>
  <c r="D31" i="9"/>
  <c r="C31" i="9"/>
  <c r="H29" i="2"/>
  <c r="H30" i="2" s="1"/>
  <c r="D29" i="2"/>
  <c r="D30" i="2"/>
  <c r="E30" i="2" s="1"/>
  <c r="C30" i="2"/>
  <c r="L37" i="1"/>
  <c r="J37" i="1"/>
  <c r="G37" i="1"/>
  <c r="H37" i="1"/>
  <c r="I29" i="9"/>
  <c r="L30" i="9"/>
  <c r="D30" i="9"/>
  <c r="J30" i="9"/>
  <c r="J36" i="1"/>
  <c r="G36" i="1"/>
  <c r="L36" i="1"/>
  <c r="E30" i="9" l="1"/>
  <c r="K30" i="9" s="1"/>
  <c r="G30" i="9" s="1"/>
  <c r="B30" i="9"/>
  <c r="C29" i="2"/>
  <c r="E29" i="2"/>
  <c r="I29" i="2" s="1"/>
  <c r="J29" i="2"/>
  <c r="B29" i="2"/>
  <c r="G29" i="2" l="1"/>
  <c r="G30" i="2" s="1"/>
  <c r="I30" i="2"/>
  <c r="B41" i="5"/>
  <c r="K34" i="1" l="1"/>
  <c r="D29" i="9" l="1"/>
  <c r="J29" i="9"/>
  <c r="H28" i="2" l="1"/>
  <c r="D28" i="2"/>
  <c r="L35" i="1"/>
  <c r="G35" i="1"/>
  <c r="J28" i="2" l="1"/>
  <c r="C28" i="2"/>
  <c r="E28" i="2"/>
  <c r="B28" i="2"/>
  <c r="L29" i="9"/>
  <c r="J35" i="1"/>
  <c r="F37" i="1"/>
  <c r="I28" i="2" l="1"/>
  <c r="J23" i="9"/>
  <c r="I28" i="9"/>
  <c r="E29" i="9"/>
  <c r="K29" i="9" s="1"/>
  <c r="G29" i="9" s="1"/>
  <c r="B29" i="9"/>
  <c r="G28" i="2" l="1"/>
  <c r="B28" i="9" l="1"/>
  <c r="J28" i="9"/>
  <c r="D28" i="9"/>
  <c r="H27" i="2"/>
  <c r="D27" i="2"/>
  <c r="L33" i="1"/>
  <c r="G33" i="1"/>
  <c r="L28" i="9" l="1"/>
  <c r="C27" i="2" l="1"/>
  <c r="J27" i="2"/>
  <c r="E27" i="2"/>
  <c r="B27" i="2"/>
  <c r="G34" i="1"/>
  <c r="L34" i="1"/>
  <c r="J34" i="1"/>
  <c r="J33" i="1"/>
  <c r="I27" i="2" l="1"/>
  <c r="G27" i="2" s="1"/>
  <c r="E28" i="9"/>
  <c r="K28" i="9" s="1"/>
  <c r="G28" i="9" l="1"/>
  <c r="L32" i="1"/>
  <c r="L31" i="1"/>
  <c r="L26" i="1"/>
  <c r="J12" i="9" l="1"/>
  <c r="J14" i="9"/>
  <c r="J13" i="9"/>
  <c r="J35" i="3" l="1"/>
  <c r="F8" i="1" l="1"/>
  <c r="J27" i="9" l="1"/>
  <c r="D27" i="9"/>
  <c r="B26" i="2"/>
  <c r="H26" i="2"/>
  <c r="D26" i="2"/>
  <c r="G32" i="1" l="1"/>
  <c r="L27" i="9" l="1"/>
  <c r="J26" i="2"/>
  <c r="C26" i="2"/>
  <c r="J31" i="1"/>
  <c r="J32" i="1"/>
  <c r="J7" i="2" l="1"/>
  <c r="H7" i="2"/>
  <c r="E34" i="1"/>
  <c r="H34" i="1" s="1"/>
  <c r="M34" i="1" s="1"/>
  <c r="J22" i="2"/>
  <c r="H22" i="2"/>
  <c r="D22" i="2"/>
  <c r="C22" i="2"/>
  <c r="J21" i="2"/>
  <c r="B22" i="2" s="1"/>
  <c r="E22" i="2" s="1"/>
  <c r="H21" i="2"/>
  <c r="D21" i="2"/>
  <c r="C21" i="2"/>
  <c r="J20" i="2"/>
  <c r="B21" i="2" s="1"/>
  <c r="H20" i="2"/>
  <c r="D20" i="2"/>
  <c r="C20" i="2"/>
  <c r="J19" i="2"/>
  <c r="B20" i="2" s="1"/>
  <c r="E20" i="2" s="1"/>
  <c r="H19" i="2"/>
  <c r="D19" i="2"/>
  <c r="C19" i="2"/>
  <c r="J18" i="2"/>
  <c r="B19" i="2" s="1"/>
  <c r="H18" i="2"/>
  <c r="D18" i="2"/>
  <c r="C18" i="2"/>
  <c r="J17" i="2"/>
  <c r="B18" i="2" s="1"/>
  <c r="E18" i="2" s="1"/>
  <c r="H17" i="2"/>
  <c r="D17" i="2"/>
  <c r="C17" i="2"/>
  <c r="J16" i="2"/>
  <c r="B17" i="2" s="1"/>
  <c r="H16" i="2"/>
  <c r="D16" i="2"/>
  <c r="C16" i="2"/>
  <c r="J15" i="2"/>
  <c r="B16" i="2" s="1"/>
  <c r="E16" i="2" s="1"/>
  <c r="H15" i="2"/>
  <c r="D15" i="2"/>
  <c r="C15" i="2"/>
  <c r="J14" i="2"/>
  <c r="B15" i="2" s="1"/>
  <c r="H14" i="2"/>
  <c r="D14" i="2"/>
  <c r="C14" i="2"/>
  <c r="J13" i="2"/>
  <c r="B14" i="2" s="1"/>
  <c r="E14" i="2" s="1"/>
  <c r="H13" i="2"/>
  <c r="D13" i="2"/>
  <c r="C13" i="2"/>
  <c r="J12" i="2"/>
  <c r="B13" i="2" s="1"/>
  <c r="H12" i="2"/>
  <c r="D12" i="2"/>
  <c r="C12" i="2"/>
  <c r="J11" i="2"/>
  <c r="B12" i="2" s="1"/>
  <c r="H11" i="2"/>
  <c r="B11" i="2"/>
  <c r="D8" i="9"/>
  <c r="B27" i="9"/>
  <c r="C24" i="9"/>
  <c r="D23" i="9"/>
  <c r="L22" i="9"/>
  <c r="B23" i="9" s="1"/>
  <c r="E23" i="9" s="1"/>
  <c r="K23" i="9" s="1"/>
  <c r="G23" i="9" s="1"/>
  <c r="I23" i="9" s="1"/>
  <c r="J22" i="9"/>
  <c r="D22" i="9"/>
  <c r="L21" i="9"/>
  <c r="B22" i="9" s="1"/>
  <c r="J21" i="9"/>
  <c r="D21" i="9"/>
  <c r="L20" i="9"/>
  <c r="B21" i="9" s="1"/>
  <c r="J20" i="9"/>
  <c r="D20" i="9"/>
  <c r="L19" i="9"/>
  <c r="B20" i="9" s="1"/>
  <c r="E20" i="9" s="1"/>
  <c r="K20" i="9" s="1"/>
  <c r="G20" i="9" s="1"/>
  <c r="I20" i="9" s="1"/>
  <c r="J19" i="9"/>
  <c r="D19" i="9"/>
  <c r="L18" i="9"/>
  <c r="B19" i="9" s="1"/>
  <c r="J18" i="9"/>
  <c r="D18" i="9"/>
  <c r="L17" i="9"/>
  <c r="B18" i="9" s="1"/>
  <c r="E18" i="9" s="1"/>
  <c r="K18" i="9" s="1"/>
  <c r="G18" i="9" s="1"/>
  <c r="I18" i="9" s="1"/>
  <c r="J17" i="9"/>
  <c r="D17" i="9"/>
  <c r="L16" i="9"/>
  <c r="B17" i="9" s="1"/>
  <c r="E17" i="9" s="1"/>
  <c r="K17" i="9" s="1"/>
  <c r="G17" i="9" s="1"/>
  <c r="I17" i="9" s="1"/>
  <c r="J16" i="9"/>
  <c r="D16" i="9"/>
  <c r="L15" i="9"/>
  <c r="B16" i="9" s="1"/>
  <c r="E16" i="9" s="1"/>
  <c r="J15" i="9"/>
  <c r="D15" i="9"/>
  <c r="L14" i="9"/>
  <c r="B15" i="9" s="1"/>
  <c r="E15" i="9" s="1"/>
  <c r="K15" i="9" s="1"/>
  <c r="G15" i="9" s="1"/>
  <c r="I15" i="9" s="1"/>
  <c r="D14" i="9"/>
  <c r="L13" i="9"/>
  <c r="B14" i="9" s="1"/>
  <c r="D13" i="9"/>
  <c r="L12" i="9"/>
  <c r="B13" i="9" s="1"/>
  <c r="D12" i="9"/>
  <c r="B12" i="9"/>
  <c r="L8" i="9" l="1"/>
  <c r="K8" i="9" s="1"/>
  <c r="E31" i="9"/>
  <c r="D23" i="2"/>
  <c r="D7" i="2" s="1"/>
  <c r="E13" i="2"/>
  <c r="I13" i="2" s="1"/>
  <c r="G13" i="2" s="1"/>
  <c r="E15" i="2"/>
  <c r="I15" i="2" s="1"/>
  <c r="G15" i="2" s="1"/>
  <c r="E17" i="2"/>
  <c r="I17" i="2" s="1"/>
  <c r="G17" i="2" s="1"/>
  <c r="E19" i="2"/>
  <c r="I19" i="2" s="1"/>
  <c r="G19" i="2" s="1"/>
  <c r="E21" i="2"/>
  <c r="I21" i="2" s="1"/>
  <c r="G21" i="2" s="1"/>
  <c r="H23" i="2"/>
  <c r="I12" i="2"/>
  <c r="G12" i="2" s="1"/>
  <c r="I18" i="2"/>
  <c r="G18" i="2" s="1"/>
  <c r="I22" i="2"/>
  <c r="G22" i="2" s="1"/>
  <c r="I14" i="2"/>
  <c r="G14" i="2" s="1"/>
  <c r="I16" i="2"/>
  <c r="G16" i="2" s="1"/>
  <c r="I20" i="2"/>
  <c r="G20" i="2" s="1"/>
  <c r="E24" i="9"/>
  <c r="J24" i="9"/>
  <c r="J8" i="9" s="1"/>
  <c r="E13" i="9"/>
  <c r="K13" i="9" s="1"/>
  <c r="G13" i="9" s="1"/>
  <c r="I13" i="9" s="1"/>
  <c r="E21" i="9"/>
  <c r="K21" i="9" s="1"/>
  <c r="G21" i="9" s="1"/>
  <c r="I21" i="9" s="1"/>
  <c r="E19" i="9"/>
  <c r="K19" i="9" s="1"/>
  <c r="G19" i="9" s="1"/>
  <c r="I19" i="9" s="1"/>
  <c r="K16" i="9"/>
  <c r="G16" i="9" s="1"/>
  <c r="I16" i="9" s="1"/>
  <c r="E14" i="9"/>
  <c r="K14" i="9" s="1"/>
  <c r="G14" i="9" s="1"/>
  <c r="I14" i="9" s="1"/>
  <c r="E22" i="9"/>
  <c r="K22" i="9" s="1"/>
  <c r="G22" i="9" s="1"/>
  <c r="I22" i="9" s="1"/>
  <c r="E12" i="9"/>
  <c r="K12" i="9" s="1"/>
  <c r="G31" i="1"/>
  <c r="G12" i="9" l="1"/>
  <c r="I12" i="9" l="1"/>
  <c r="J26" i="1"/>
  <c r="G26" i="1" l="1"/>
  <c r="F15" i="1" l="1"/>
  <c r="N7" i="1" l="1"/>
  <c r="E27" i="1"/>
  <c r="O48" i="3" l="1"/>
  <c r="K48" i="3"/>
  <c r="G25" i="1" l="1"/>
  <c r="L25" i="1"/>
  <c r="J25" i="1" l="1"/>
  <c r="F28" i="1" l="1"/>
  <c r="L24" i="1" l="1"/>
  <c r="L27" i="1" s="1"/>
  <c r="G24" i="1"/>
  <c r="G27" i="1" s="1"/>
  <c r="H27" i="1" s="1"/>
  <c r="M27" i="1" s="1"/>
  <c r="J24" i="1" l="1"/>
  <c r="J27" i="1" s="1"/>
  <c r="K27" i="1" s="1"/>
  <c r="L22" i="1" l="1"/>
  <c r="G22" i="1"/>
  <c r="J22" i="1" l="1"/>
  <c r="G21" i="1" l="1"/>
  <c r="E23" i="1"/>
  <c r="L16" i="1"/>
  <c r="L14" i="1"/>
  <c r="L13" i="1"/>
  <c r="L12" i="1"/>
  <c r="G16" i="1"/>
  <c r="G14" i="1"/>
  <c r="G13" i="1"/>
  <c r="G12" i="1"/>
  <c r="L21" i="1" l="1"/>
  <c r="J21" i="1" l="1"/>
  <c r="D49" i="3" l="1"/>
  <c r="E49" i="3"/>
  <c r="H49" i="3" s="1"/>
  <c r="N49" i="3" s="1"/>
  <c r="L49" i="3" s="1"/>
  <c r="B36" i="3"/>
  <c r="E36" i="3" s="1"/>
  <c r="G36" i="3" s="1"/>
  <c r="I23" i="3"/>
  <c r="B9" i="3"/>
  <c r="E9" i="3" s="1"/>
  <c r="J9" i="3" s="1"/>
  <c r="I9" i="3" s="1"/>
  <c r="L20" i="1" l="1"/>
  <c r="L23" i="1" s="1"/>
  <c r="G20" i="1" l="1"/>
  <c r="G23" i="1" s="1"/>
  <c r="H23" i="1" l="1"/>
  <c r="M23" i="1" s="1"/>
  <c r="J20" i="1"/>
  <c r="J23" i="1" s="1"/>
  <c r="K23" i="1" l="1"/>
  <c r="B8" i="2" l="1"/>
  <c r="E8" i="2" s="1"/>
  <c r="I8" i="2" s="1"/>
  <c r="G8" i="2" s="1"/>
  <c r="D8" i="1"/>
  <c r="E8" i="1"/>
  <c r="H8" i="1" l="1"/>
  <c r="M8" i="1" s="1"/>
  <c r="K8" i="1" s="1"/>
  <c r="J18" i="1" l="1"/>
  <c r="L18" i="1" l="1"/>
  <c r="G18" i="1"/>
  <c r="E19" i="1" l="1"/>
  <c r="L17" i="1" l="1"/>
  <c r="G17" i="1"/>
  <c r="J13" i="1" l="1"/>
  <c r="J17" i="1" l="1"/>
  <c r="B53" i="3" l="1"/>
  <c r="L19" i="1" l="1"/>
  <c r="G19" i="1"/>
  <c r="H19" i="1" s="1"/>
  <c r="M19" i="1" s="1"/>
  <c r="J16" i="1" l="1"/>
  <c r="J19" i="1" s="1"/>
  <c r="K19" i="1" l="1"/>
  <c r="G21" i="6" l="1"/>
  <c r="J14" i="1" l="1"/>
  <c r="L15" i="1" l="1"/>
  <c r="L28" i="1" s="1"/>
  <c r="L7" i="1" s="1"/>
  <c r="G15" i="1"/>
  <c r="G28" i="1" s="1"/>
  <c r="G7" i="1" l="1"/>
  <c r="H28" i="1"/>
  <c r="J12" i="1"/>
  <c r="J15" i="1" s="1"/>
  <c r="J28" i="1" s="1"/>
  <c r="J7" i="1" s="1"/>
  <c r="F7" i="1"/>
  <c r="D7" i="1" s="1"/>
  <c r="H15" i="1"/>
  <c r="E27" i="9" l="1"/>
  <c r="K27" i="9" s="1"/>
  <c r="K31" i="9" s="1"/>
  <c r="M15" i="1"/>
  <c r="M28" i="1" s="1"/>
  <c r="E26" i="2"/>
  <c r="I26" i="2" s="1"/>
  <c r="B7" i="2"/>
  <c r="B41" i="1"/>
  <c r="G26" i="2" l="1"/>
  <c r="K15" i="1"/>
  <c r="K28" i="1" s="1"/>
  <c r="G27" i="9"/>
  <c r="G31" i="9" l="1"/>
  <c r="I27" i="9"/>
  <c r="I31" i="9" s="1"/>
  <c r="K47" i="3"/>
  <c r="E48" i="3" l="1"/>
  <c r="H48" i="3" s="1"/>
  <c r="N48" i="3" s="1"/>
  <c r="L48" i="3" s="1"/>
  <c r="H47" i="3"/>
  <c r="N47" i="3" s="1"/>
  <c r="L47" i="3" s="1"/>
  <c r="D48" i="3"/>
  <c r="D47" i="3"/>
  <c r="B35" i="3"/>
  <c r="E35" i="3" s="1"/>
  <c r="I35" i="3" s="1"/>
  <c r="G35" i="3" s="1"/>
  <c r="E34" i="3"/>
  <c r="I34" i="3" s="1"/>
  <c r="G34" i="3" s="1"/>
  <c r="B22" i="3"/>
  <c r="E22" i="3" s="1"/>
  <c r="I22" i="3" s="1"/>
  <c r="G22" i="3" s="1"/>
  <c r="E21" i="3"/>
  <c r="I21" i="3" s="1"/>
  <c r="G21" i="3" s="1"/>
  <c r="B8" i="3"/>
  <c r="E8" i="3" s="1"/>
  <c r="J8" i="3" s="1"/>
  <c r="I8" i="3" s="1"/>
  <c r="E7" i="3"/>
  <c r="J7" i="3" s="1"/>
  <c r="I7" i="3" s="1"/>
  <c r="E8" i="9" l="1"/>
  <c r="G8" i="9" s="1"/>
  <c r="I8" i="9" s="1"/>
  <c r="E7" i="1"/>
  <c r="H7" i="1" s="1"/>
  <c r="M7" i="1" s="1"/>
  <c r="K7" i="1" s="1"/>
  <c r="D6" i="1"/>
  <c r="E7" i="9" l="1"/>
  <c r="K7" i="9" s="1"/>
  <c r="G7" i="9" s="1"/>
  <c r="I7" i="9" s="1"/>
  <c r="E6" i="2" l="1"/>
  <c r="I6" i="2" s="1"/>
  <c r="G6" i="2" s="1"/>
  <c r="H6" i="1" l="1"/>
  <c r="M6" i="1" s="1"/>
  <c r="B42" i="6"/>
  <c r="B41" i="4"/>
  <c r="B34" i="9"/>
  <c r="B33" i="2"/>
  <c r="A5" i="10"/>
  <c r="K6" i="1" l="1"/>
  <c r="E11" i="2" l="1"/>
  <c r="I11" i="2" s="1"/>
  <c r="C23" i="2"/>
  <c r="E23" i="2" s="1"/>
  <c r="I23" i="2" l="1"/>
  <c r="G11" i="2"/>
  <c r="G23" i="2" s="1"/>
  <c r="C7" i="2"/>
  <c r="E7" i="2" s="1"/>
  <c r="I7" i="2" s="1"/>
  <c r="G7" i="2" s="1"/>
</calcChain>
</file>

<file path=xl/sharedStrings.xml><?xml version="1.0" encoding="utf-8"?>
<sst xmlns="http://schemas.openxmlformats.org/spreadsheetml/2006/main" count="550" uniqueCount="250">
  <si>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</si>
  <si>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</si>
  <si>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</si>
  <si>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</si>
  <si>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</si>
  <si>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</si>
  <si>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</si>
  <si>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</si>
  <si>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</si>
  <si>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</si>
  <si>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</si>
  <si>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</si>
  <si>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</si>
  <si>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</si>
  <si>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</si>
  <si>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</si>
  <si>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</si>
  <si>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</si>
  <si>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</si>
  <si>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</si>
  <si>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</si>
  <si>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</si>
  <si>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</si>
  <si>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</si>
  <si>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</si>
  <si>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</si>
  <si>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</si>
  <si>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</si>
  <si>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</si>
  <si>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</si>
  <si>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</si>
  <si>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</si>
  <si>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</si>
  <si>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</si>
  <si>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</si>
  <si>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</si>
  <si>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</si>
  <si>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</si>
  <si>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</si>
  <si>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</si>
  <si>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</si>
  <si>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</si>
  <si>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</si>
  <si>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</si>
  <si>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</si>
  <si>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</si>
  <si>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</si>
  <si>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</si>
  <si>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</si>
  <si>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</si>
  <si>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</si>
  <si>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</si>
  <si>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</si>
  <si>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</si>
  <si>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</si>
  <si>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</si>
  <si>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</si>
  <si>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</si>
  <si>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</si>
  <si>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</si>
  <si>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</si>
  <si>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</si>
  <si>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</si>
  <si>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</si>
  <si>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</si>
  <si>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</si>
  <si>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</si>
  <si>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</si>
  <si>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</si>
  <si>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>Year beginning</t>
  </si>
  <si>
    <t>October 1</t>
  </si>
  <si>
    <t>August 1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</si>
  <si>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</si>
  <si>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</si>
  <si>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</si>
  <si>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</si>
  <si>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</si>
  <si>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</si>
  <si>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</si>
  <si>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</si>
  <si>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</si>
  <si>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</si>
  <si>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</si>
  <si>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</si>
  <si>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</si>
  <si>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</si>
  <si>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</si>
  <si>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</si>
  <si>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</si>
  <si>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</si>
  <si>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</si>
  <si>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</si>
  <si>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</si>
  <si>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</si>
  <si>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</si>
  <si>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</si>
  <si>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</si>
  <si>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</si>
  <si>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</si>
  <si>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</si>
  <si>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</si>
  <si>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</si>
  <si>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</si>
  <si>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</si>
  <si>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</si>
  <si>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</si>
  <si>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</si>
  <si>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</si>
  <si>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</si>
  <si>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</si>
  <si>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</si>
  <si>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</si>
  <si>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</si>
  <si>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</si>
  <si>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</si>
  <si>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</si>
  <si>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</si>
  <si>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</si>
  <si>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</si>
  <si>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</si>
  <si>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</si>
  <si>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</si>
  <si>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</si>
  <si>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</si>
  <si>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</si>
  <si>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</si>
  <si>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</si>
  <si>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</si>
  <si>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</si>
  <si>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</si>
  <si>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</si>
  <si>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</si>
  <si>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</si>
  <si>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</si>
  <si>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</si>
  <si>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</si>
  <si>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</si>
  <si>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</si>
  <si>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</si>
  <si>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</si>
  <si>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</si>
  <si>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</si>
  <si>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</si>
  <si>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</si>
  <si>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</si>
  <si>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</si>
  <si>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</si>
  <si>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</si>
  <si>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</si>
  <si>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</si>
  <si>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</si>
  <si>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</si>
  <si>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</si>
  <si>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</si>
  <si>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</si>
  <si>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</si>
  <si>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</si>
  <si>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 xml:space="preserve"> June-August</t>
  </si>
  <si>
    <t>Sep 3</t>
  </si>
  <si>
    <t>Sep 10</t>
  </si>
  <si>
    <t>Sep 17</t>
  </si>
  <si>
    <t>Sep 24</t>
  </si>
  <si>
    <t xml:space="preserve"> September</t>
  </si>
  <si>
    <t xml:space="preserve"> May</t>
  </si>
  <si>
    <t xml:space="preserve"> April</t>
  </si>
  <si>
    <t xml:space="preserve"> March</t>
  </si>
  <si>
    <t xml:space="preserve"> February</t>
  </si>
  <si>
    <t xml:space="preserve"> January</t>
  </si>
  <si>
    <t xml:space="preserve"> December</t>
  </si>
  <si>
    <t xml:space="preserve"> November</t>
  </si>
  <si>
    <t xml:space="preserve"> October</t>
  </si>
  <si>
    <t>Million metric tons</t>
  </si>
  <si>
    <t>prices</t>
  </si>
  <si>
    <t>Stocks (right axis)</t>
  </si>
  <si>
    <t xml:space="preserve"> Price</t>
  </si>
  <si>
    <t>Malaysia</t>
  </si>
  <si>
    <t>Aug 27</t>
  </si>
  <si>
    <t>Aug 20</t>
  </si>
  <si>
    <t>Aug 13</t>
  </si>
  <si>
    <t>Aug 6</t>
  </si>
  <si>
    <t>Jul 30</t>
  </si>
  <si>
    <t>Jul 23</t>
  </si>
  <si>
    <t>Jul 16</t>
  </si>
  <si>
    <t>Jul 9</t>
  </si>
  <si>
    <t>Jul 2</t>
  </si>
  <si>
    <t>Jun 25</t>
  </si>
  <si>
    <t>Jun 18</t>
  </si>
  <si>
    <t>Jun 11</t>
  </si>
  <si>
    <t>Jun 4</t>
  </si>
  <si>
    <t>May 28</t>
  </si>
  <si>
    <t>May 21</t>
  </si>
  <si>
    <t>May 14</t>
  </si>
  <si>
    <t>May 7</t>
  </si>
  <si>
    <t>Apr 30</t>
  </si>
  <si>
    <t>Apr 23</t>
  </si>
  <si>
    <t>Apr 16</t>
  </si>
  <si>
    <t>Apr 9</t>
  </si>
  <si>
    <t>Apr 2</t>
  </si>
  <si>
    <t>Mar 26</t>
  </si>
  <si>
    <t>Mar 19</t>
  </si>
  <si>
    <t>Mar 12</t>
  </si>
  <si>
    <t>Mar 5</t>
  </si>
  <si>
    <t>Feb 27</t>
  </si>
  <si>
    <t>Feb 20</t>
  </si>
  <si>
    <t>Feb 13</t>
  </si>
  <si>
    <t>Feb 6</t>
  </si>
  <si>
    <t>Jan 30</t>
  </si>
  <si>
    <t>Jan 23</t>
  </si>
  <si>
    <t>Jan 16</t>
  </si>
  <si>
    <t>Jan 9</t>
  </si>
  <si>
    <t>Jan 2</t>
  </si>
  <si>
    <t>Dec 26</t>
  </si>
  <si>
    <t>Dec 19</t>
  </si>
  <si>
    <t>Dec 12</t>
  </si>
  <si>
    <t>Dec 5</t>
  </si>
  <si>
    <t>Nov 28</t>
  </si>
  <si>
    <t>Nov 21</t>
  </si>
  <si>
    <t>Nov 14</t>
  </si>
  <si>
    <t>Nov 7</t>
  </si>
  <si>
    <t>Oct 31</t>
  </si>
  <si>
    <t>Oct 24</t>
  </si>
  <si>
    <t>Oct 17</t>
  </si>
  <si>
    <t>Oct 10</t>
  </si>
  <si>
    <t>Oct 3</t>
  </si>
  <si>
    <t>1,000 metric tons</t>
  </si>
  <si>
    <t>Soybean meal</t>
  </si>
  <si>
    <t>Refined Palm Oil Price Per Pound</t>
  </si>
  <si>
    <t>Average of prior three years</t>
  </si>
  <si>
    <t>Contact: Candice Wilson, Dana Golden, and Todd Hubbs</t>
  </si>
  <si>
    <t>Bushels per acre</t>
  </si>
  <si>
    <t>Soybeans: Quarterly U.S. supply and disappearance</t>
  </si>
  <si>
    <t xml:space="preserve">Dollars per bushel </t>
  </si>
  <si>
    <t xml:space="preserve">Dollars per short ton  </t>
  </si>
  <si>
    <t>Cents per pound</t>
  </si>
  <si>
    <t>Dollars per hundredweight</t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</si>
  <si>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</si>
  <si>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t>Dollars per bushel</t>
  </si>
  <si>
    <t>Brazilian soybean exports</t>
  </si>
  <si>
    <t>Accumulated Exports</t>
  </si>
  <si>
    <t>Soybean oil produced</t>
  </si>
  <si>
    <t>Soybean meal produced</t>
  </si>
  <si>
    <t>Short tons</t>
  </si>
  <si>
    <t>Soybeans spot price, Decatur, Illinois (right axis)</t>
  </si>
  <si>
    <t>2019/20 Accumulated exports</t>
  </si>
  <si>
    <t>2020/21 Accumulated exports</t>
  </si>
  <si>
    <t>2018/19 Accumulated exports</t>
  </si>
  <si>
    <t>2017/18 Accumulated exports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</si>
  <si>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>; and U.S. Department of Commerce, Bureau of the Census, Foreign Trade Statistics.</t>
    </r>
  </si>
  <si>
    <t>------------------------------------------------------- Cents per pound----------------------------------------------</t>
  </si>
  <si>
    <t>--------------------------------------------------- Dollars per short ton------------------------------------------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</si>
</sst>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#,##0.0"/>
    <numFmt numFmtId="171" formatCode="[$-409]mmm\-yy;@"/>
    <numFmt numFmtId="172" formatCode="0.0000"/>
    <numFmt numFmtId="173" formatCode="mmm\-yyyy"/>
    <numFmt numFmtId="174" formatCode="0.000"/>
    <numFmt numFmtId="175" formatCode="#,##0.00_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 Unicode MS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0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1"/>
    </xf>
    <xf numFmtId="170" fontId="13" fillId="0" borderId="0" xfId="1" applyNumberFormat="1" applyFont="1" applyBorder="1" applyAlignment="1">
      <alignment horizontal="right"/>
    </xf>
    <xf numFmtId="170" fontId="13" fillId="0" borderId="0" xfId="1" quotePrefix="1" applyNumberFormat="1" applyFont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0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0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0" fontId="13" fillId="0" borderId="0" xfId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2"/>
    </xf>
    <xf numFmtId="170" fontId="13" fillId="0" borderId="0" xfId="1" applyNumberFormat="1" applyFont="1" applyAlignment="1">
      <alignment horizontal="right" indent="1"/>
    </xf>
    <xf numFmtId="170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2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13" fillId="0" borderId="0" xfId="0" applyNumberFormat="1" applyFont="1" applyBorder="1" applyAlignment="1">
      <alignment horizontal="center"/>
    </xf>
    <xf numFmtId="167" fontId="0" fillId="0" borderId="0" xfId="12" applyNumberFormat="1" applyFont="1"/>
    <xf numFmtId="0" fontId="2" fillId="0" borderId="1" xfId="0" applyFont="1" applyBorder="1"/>
    <xf numFmtId="170" fontId="13" fillId="0" borderId="1" xfId="1" applyNumberFormat="1" applyFont="1" applyBorder="1" applyAlignment="1">
      <alignment horizontal="right"/>
    </xf>
    <xf numFmtId="0" fontId="2" fillId="0" borderId="0" xfId="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" fillId="0" borderId="0" xfId="0" applyFont="1" applyBorder="1"/>
    <xf numFmtId="3" fontId="1" fillId="0" borderId="0" xfId="12" applyNumberFormat="1" applyFont="1"/>
    <xf numFmtId="170" fontId="13" fillId="0" borderId="0" xfId="0" applyNumberFormat="1" applyFont="1" applyBorder="1"/>
    <xf numFmtId="170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9" fontId="13" fillId="0" borderId="0" xfId="12" applyFont="1"/>
    <xf numFmtId="164" fontId="13" fillId="0" borderId="1" xfId="1" applyNumberFormat="1" applyFont="1" applyBorder="1" applyAlignment="1">
      <alignment horizontal="center"/>
    </xf>
    <xf numFmtId="164" fontId="13" fillId="0" borderId="1" xfId="1" quotePrefix="1" applyNumberFormat="1" applyFont="1" applyBorder="1" applyAlignment="1">
      <alignment horizontal="center"/>
    </xf>
    <xf numFmtId="170" fontId="13" fillId="0" borderId="1" xfId="1" quotePrefix="1" applyNumberFormat="1" applyFont="1" applyBorder="1" applyAlignment="1">
      <alignment horizontal="right"/>
    </xf>
    <xf numFmtId="170" fontId="13" fillId="0" borderId="1" xfId="1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1" fillId="0" borderId="0" xfId="13"/>
    <xf numFmtId="174" fontId="0" fillId="0" borderId="0" xfId="12" applyNumberFormat="1" applyFont="1"/>
    <xf numFmtId="14" fontId="1" fillId="0" borderId="0" xfId="13" applyNumberFormat="1"/>
    <xf numFmtId="3" fontId="0" fillId="0" borderId="0" xfId="12" applyNumberFormat="1" applyFont="1"/>
    <xf numFmtId="17" fontId="13" fillId="0" borderId="0" xfId="13" applyNumberFormat="1" applyFont="1"/>
    <xf numFmtId="167" fontId="1" fillId="0" borderId="0" xfId="13" applyNumberFormat="1"/>
    <xf numFmtId="165" fontId="0" fillId="0" borderId="0" xfId="14" applyNumberFormat="1" applyFont="1"/>
    <xf numFmtId="37" fontId="19" fillId="0" borderId="0" xfId="13" applyNumberFormat="1" applyFont="1"/>
    <xf numFmtId="169" fontId="19" fillId="0" borderId="0" xfId="13" applyNumberFormat="1" applyFont="1"/>
    <xf numFmtId="168" fontId="17" fillId="0" borderId="0" xfId="13" applyNumberFormat="1" applyFont="1"/>
    <xf numFmtId="37" fontId="19" fillId="0" borderId="0" xfId="13" quotePrefix="1" applyNumberFormat="1" applyFont="1" applyAlignment="1">
      <alignment horizontal="center"/>
    </xf>
    <xf numFmtId="164" fontId="0" fillId="0" borderId="0" xfId="14" applyNumberFormat="1" applyFont="1"/>
    <xf numFmtId="171" fontId="1" fillId="0" borderId="0" xfId="13" quotePrefix="1" applyNumberFormat="1"/>
    <xf numFmtId="168" fontId="17" fillId="0" borderId="0" xfId="13" quotePrefix="1" applyNumberFormat="1" applyFont="1"/>
    <xf numFmtId="1" fontId="1" fillId="0" borderId="0" xfId="13" applyNumberFormat="1"/>
    <xf numFmtId="173" fontId="1" fillId="0" borderId="0" xfId="13" applyNumberFormat="1"/>
    <xf numFmtId="2" fontId="1" fillId="0" borderId="0" xfId="13" applyNumberFormat="1" applyAlignment="1">
      <alignment wrapText="1"/>
    </xf>
    <xf numFmtId="14" fontId="1" fillId="0" borderId="0" xfId="13" applyNumberFormat="1" applyAlignment="1">
      <alignment wrapText="1"/>
    </xf>
    <xf numFmtId="167" fontId="1" fillId="0" borderId="0" xfId="15" applyNumberFormat="1" applyAlignment="1">
      <alignment wrapText="1"/>
    </xf>
    <xf numFmtId="0" fontId="1" fillId="0" borderId="0" xfId="15"/>
    <xf numFmtId="2" fontId="1" fillId="0" borderId="0" xfId="15" applyNumberFormat="1"/>
    <xf numFmtId="0" fontId="13" fillId="0" borderId="0" xfId="13" applyFont="1"/>
    <xf numFmtId="0" fontId="5" fillId="0" borderId="0" xfId="15" applyFont="1"/>
    <xf numFmtId="14" fontId="1" fillId="0" borderId="0" xfId="15" applyNumberFormat="1"/>
    <xf numFmtId="17" fontId="13" fillId="0" borderId="0" xfId="15" applyNumberFormat="1" applyFont="1"/>
    <xf numFmtId="173" fontId="1" fillId="0" borderId="0" xfId="15" applyNumberFormat="1"/>
    <xf numFmtId="39" fontId="1" fillId="0" borderId="0" xfId="15" applyNumberFormat="1"/>
    <xf numFmtId="1" fontId="0" fillId="0" borderId="0" xfId="12" applyNumberFormat="1" applyFont="1"/>
    <xf numFmtId="175" fontId="1" fillId="0" borderId="0" xfId="15" applyNumberFormat="1"/>
    <xf numFmtId="167" fontId="1" fillId="0" borderId="0" xfId="15" applyNumberFormat="1"/>
    <xf numFmtId="170" fontId="1" fillId="0" borderId="0" xfId="15" applyNumberFormat="1"/>
    <xf numFmtId="170" fontId="1" fillId="0" borderId="0" xfId="15" applyNumberFormat="1" applyAlignment="1">
      <alignment wrapText="1"/>
    </xf>
    <xf numFmtId="0" fontId="1" fillId="0" borderId="0" xfId="15" quotePrefix="1"/>
    <xf numFmtId="170" fontId="1" fillId="0" borderId="0" xfId="1" applyNumberFormat="1" applyFont="1" applyBorder="1" applyAlignment="1">
      <alignment wrapText="1"/>
    </xf>
    <xf numFmtId="14" fontId="1" fillId="0" borderId="0" xfId="15" applyNumberFormat="1" applyAlignment="1">
      <alignment wrapText="1"/>
    </xf>
    <xf numFmtId="0" fontId="5" fillId="0" borderId="0" xfId="15" quotePrefix="1" applyFont="1"/>
    <xf numFmtId="3" fontId="0" fillId="0" borderId="0" xfId="0" applyNumberFormat="1"/>
    <xf numFmtId="43" fontId="1" fillId="0" borderId="0" xfId="1"/>
    <xf numFmtId="43" fontId="1" fillId="0" borderId="0" xfId="13" applyNumberFormat="1"/>
    <xf numFmtId="43" fontId="1" fillId="0" borderId="0" xfId="1" applyAlignment="1">
      <alignment wrapText="1"/>
    </xf>
    <xf numFmtId="0" fontId="1" fillId="0" borderId="0" xfId="0" applyFont="1" applyAlignment="1">
      <alignment vertical="center"/>
    </xf>
    <xf numFmtId="170" fontId="13" fillId="2" borderId="0" xfId="1" applyNumberFormat="1" applyFont="1" applyFill="1" applyBorder="1" applyAlignment="1">
      <alignment horizontal="center"/>
    </xf>
    <xf numFmtId="170" fontId="13" fillId="2" borderId="0" xfId="1" applyNumberFormat="1" applyFont="1" applyFill="1" applyBorder="1" applyAlignment="1">
      <alignment horizontal="right" indent="1"/>
    </xf>
    <xf numFmtId="170" fontId="13" fillId="2" borderId="0" xfId="1" applyNumberFormat="1" applyFont="1" applyFill="1" applyAlignment="1">
      <alignment horizontal="right" indent="1"/>
    </xf>
    <xf numFmtId="2" fontId="13" fillId="0" borderId="0" xfId="0" applyNumberFormat="1" applyFont="1" applyAlignment="1">
      <alignment horizontal="right" indent="2"/>
    </xf>
    <xf numFmtId="17" fontId="13" fillId="0" borderId="1" xfId="13" applyNumberFormat="1" applyFont="1" applyBorder="1"/>
    <xf numFmtId="2" fontId="1" fillId="0" borderId="1" xfId="13" applyNumberFormat="1" applyBorder="1" applyAlignment="1">
      <alignment wrapText="1"/>
    </xf>
    <xf numFmtId="167" fontId="1" fillId="0" borderId="1" xfId="15" applyNumberFormat="1" applyBorder="1" applyAlignment="1">
      <alignment wrapText="1"/>
    </xf>
    <xf numFmtId="0" fontId="12" fillId="0" borderId="0" xfId="13" applyFont="1"/>
    <xf numFmtId="0" fontId="1" fillId="0" borderId="0" xfId="13" applyNumberFormat="1" applyAlignment="1">
      <alignment wrapText="1"/>
    </xf>
    <xf numFmtId="43" fontId="1" fillId="0" borderId="0" xfId="15" applyNumberForma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6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6" xfId="13" xr:uid="{EBE75F6A-C88B-45B8-A8CA-B04BAAF6B28C}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effectLst/>
              </a:rPr>
              <a:t>Brazilian</a:t>
            </a:r>
            <a:r>
              <a:rPr lang="en-US" baseline="0"/>
              <a:t> soybean exports fall substantially compared with recent history</a:t>
            </a:r>
            <a:endParaRPr lang="en-US"/>
          </a:p>
        </c:rich>
      </c:tx>
      <c:layout>
        <c:manualLayout>
          <c:xMode val="edge"/>
          <c:yMode val="edge"/>
          <c:x val="2.4326613176066693E-2"/>
          <c:y val="4.0521946951752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4742610856424757"/>
          <c:w val="0.77394018761354977"/>
          <c:h val="0.70930955598924927"/>
        </c:manualLayout>
      </c:layout>
      <c:lineChart>
        <c:grouping val="standard"/>
        <c:varyColors val="0"/>
        <c:ser>
          <c:idx val="2"/>
          <c:order val="3"/>
          <c:tx>
            <c:v>2019/2020</c:v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Cover!$A$5:$A$16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  <c:extLst/>
            </c:strRef>
          </c:cat>
          <c:val>
            <c:numRef>
              <c:f>Cover!$C$5:$C$16</c:f>
              <c:numCache>
                <c:formatCode>#,##0.0_);\(#,##0.0\)</c:formatCode>
                <c:ptCount val="12"/>
                <c:pt idx="0">
                  <c:v>5.0762598829999996</c:v>
                </c:pt>
                <c:pt idx="1">
                  <c:v>4.9473593170000001</c:v>
                </c:pt>
                <c:pt idx="2">
                  <c:v>3.2696367909999999</c:v>
                </c:pt>
                <c:pt idx="3">
                  <c:v>1.3977575059999998</c:v>
                </c:pt>
                <c:pt idx="4">
                  <c:v>4.8399818469999998</c:v>
                </c:pt>
                <c:pt idx="5">
                  <c:v>10.875230046</c:v>
                </c:pt>
                <c:pt idx="6">
                  <c:v>14.859774224000001</c:v>
                </c:pt>
                <c:pt idx="7">
                  <c:v>14.099887178000001</c:v>
                </c:pt>
                <c:pt idx="8">
                  <c:v>12.741608437</c:v>
                </c:pt>
                <c:pt idx="9">
                  <c:v>9.9550679909999999</c:v>
                </c:pt>
                <c:pt idx="10">
                  <c:v>5.8366668129999999</c:v>
                </c:pt>
                <c:pt idx="11">
                  <c:v>4.2653036540000002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5-7972-4328-8662-676A5BD7506D}"/>
            </c:ext>
          </c:extLst>
        </c:ser>
        <c:ser>
          <c:idx val="4"/>
          <c:order val="4"/>
          <c:tx>
            <c:v>2020/2021</c:v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Cover!$A$5:$A$16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  <c:extLst/>
            </c:strRef>
          </c:cat>
          <c:val>
            <c:numRef>
              <c:f>Cover!$D$5:$D$16</c:f>
              <c:numCache>
                <c:formatCode>#,##0.0_);\(#,##0.0\)</c:formatCode>
                <c:ptCount val="12"/>
                <c:pt idx="0">
                  <c:v>2.4262227840000001</c:v>
                </c:pt>
                <c:pt idx="1">
                  <c:v>1.435661488</c:v>
                </c:pt>
                <c:pt idx="2">
                  <c:v>0.27408258299999999</c:v>
                </c:pt>
                <c:pt idx="3">
                  <c:v>4.9498928999999997E-2</c:v>
                </c:pt>
                <c:pt idx="4">
                  <c:v>2.9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6-7972-4328-8662-676A5BD7506D}"/>
            </c:ext>
          </c:extLst>
        </c:ser>
        <c:ser>
          <c:idx val="5"/>
          <c:order val="5"/>
          <c:tx>
            <c:strRef>
              <c:f>Cover!$B$2</c:f>
              <c:strCache>
                <c:ptCount val="1"/>
                <c:pt idx="0">
                  <c:v>Average of prior three years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 October</c:v>
              </c:pt>
              <c:pt idx="1">
                <c:v> November</c:v>
              </c:pt>
              <c:pt idx="2">
                <c:v> December</c:v>
              </c:pt>
              <c:pt idx="3">
                <c:v> January</c:v>
              </c:pt>
              <c:pt idx="4">
                <c:v> February</c:v>
              </c:pt>
              <c:pt idx="5">
                <c:v> March</c:v>
              </c:pt>
              <c:pt idx="6">
                <c:v> April</c:v>
              </c:pt>
              <c:pt idx="7">
                <c:v> May</c:v>
              </c:pt>
              <c:pt idx="8">
                <c:v> June</c:v>
              </c:pt>
              <c:pt idx="9">
                <c:v> July</c:v>
              </c:pt>
              <c:pt idx="10">
                <c:v> August</c:v>
              </c:pt>
              <c:pt idx="11">
                <c:v> September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Cover!$B$7:$B$16</c:f>
              <c:numCache>
                <c:formatCode>#,##0.0_);\(#,##0.0\)</c:formatCode>
                <c:ptCount val="10"/>
                <c:pt idx="0">
                  <c:v>2.3598943299999999</c:v>
                </c:pt>
                <c:pt idx="1">
                  <c:v>1.5051233033333336</c:v>
                </c:pt>
                <c:pt idx="2">
                  <c:v>3.8801260850000001</c:v>
                </c:pt>
                <c:pt idx="3">
                  <c:v>8.7575368456666656</c:v>
                </c:pt>
                <c:pt idx="4">
                  <c:v>10.045512488</c:v>
                </c:pt>
                <c:pt idx="5">
                  <c:v>11.100805653</c:v>
                </c:pt>
                <c:pt idx="6">
                  <c:v>9.3830383900000012</c:v>
                </c:pt>
                <c:pt idx="7">
                  <c:v>8.174359535999999</c:v>
                </c:pt>
                <c:pt idx="8">
                  <c:v>6.360653189333334</c:v>
                </c:pt>
                <c:pt idx="9">
                  <c:v>4.4885287646666665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7-7972-4328-8662-676A5BD75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662592"/>
        <c:axId val="567663680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Cover!#REF!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Cover!$A$5:$A$16</c15:sqref>
                        </c15:formulaRef>
                      </c:ext>
                    </c:extLst>
                    <c:strCache>
                      <c:ptCount val="12"/>
                      <c:pt idx="0">
                        <c:v> October</c:v>
                      </c:pt>
                      <c:pt idx="1">
                        <c:v> November</c:v>
                      </c:pt>
                      <c:pt idx="2">
                        <c:v> December</c:v>
                      </c:pt>
                      <c:pt idx="3">
                        <c:v> January</c:v>
                      </c:pt>
                      <c:pt idx="4">
                        <c:v> February</c:v>
                      </c:pt>
                      <c:pt idx="5">
                        <c:v> March</c:v>
                      </c:pt>
                      <c:pt idx="6">
                        <c:v> April</c:v>
                      </c:pt>
                      <c:pt idx="7">
                        <c:v> May</c:v>
                      </c:pt>
                      <c:pt idx="8">
                        <c:v> June</c:v>
                      </c:pt>
                      <c:pt idx="9">
                        <c:v> July</c:v>
                      </c:pt>
                      <c:pt idx="10">
                        <c:v> August</c:v>
                      </c:pt>
                      <c:pt idx="11">
                        <c:v> September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Cover!#REF!</c15:sqref>
                        </c15:formulaRef>
                      </c:ext>
                    </c:extLst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972-4328-8662-676A5BD7506D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Cover!$A$5:$A$16</c15:sqref>
                        </c15:formulaRef>
                      </c:ext>
                    </c:extLst>
                    <c:strCache>
                      <c:ptCount val="12"/>
                      <c:pt idx="0">
                        <c:v> October</c:v>
                      </c:pt>
                      <c:pt idx="1">
                        <c:v> November</c:v>
                      </c:pt>
                      <c:pt idx="2">
                        <c:v> December</c:v>
                      </c:pt>
                      <c:pt idx="3">
                        <c:v> January</c:v>
                      </c:pt>
                      <c:pt idx="4">
                        <c:v> February</c:v>
                      </c:pt>
                      <c:pt idx="5">
                        <c:v> March</c:v>
                      </c:pt>
                      <c:pt idx="6">
                        <c:v> April</c:v>
                      </c:pt>
                      <c:pt idx="7">
                        <c:v> May</c:v>
                      </c:pt>
                      <c:pt idx="8">
                        <c:v> June</c:v>
                      </c:pt>
                      <c:pt idx="9">
                        <c:v> July</c:v>
                      </c:pt>
                      <c:pt idx="10">
                        <c:v> August</c:v>
                      </c:pt>
                      <c:pt idx="11">
                        <c:v> September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972-4328-8662-676A5BD7506D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2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Cover!$A$5:$A$16</c15:sqref>
                        </c15:formulaRef>
                      </c:ext>
                    </c:extLst>
                    <c:strCache>
                      <c:ptCount val="12"/>
                      <c:pt idx="0">
                        <c:v> October</c:v>
                      </c:pt>
                      <c:pt idx="1">
                        <c:v> November</c:v>
                      </c:pt>
                      <c:pt idx="2">
                        <c:v> December</c:v>
                      </c:pt>
                      <c:pt idx="3">
                        <c:v> January</c:v>
                      </c:pt>
                      <c:pt idx="4">
                        <c:v> February</c:v>
                      </c:pt>
                      <c:pt idx="5">
                        <c:v> March</c:v>
                      </c:pt>
                      <c:pt idx="6">
                        <c:v> April</c:v>
                      </c:pt>
                      <c:pt idx="7">
                        <c:v> May</c:v>
                      </c:pt>
                      <c:pt idx="8">
                        <c:v> June</c:v>
                      </c:pt>
                      <c:pt idx="9">
                        <c:v> July</c:v>
                      </c:pt>
                      <c:pt idx="10">
                        <c:v> August</c:v>
                      </c:pt>
                      <c:pt idx="11">
                        <c:v> September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Cover!#REF!</c15:sqref>
                        </c15:formulaRef>
                      </c:ext>
                    </c:extLst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972-4328-8662-676A5BD7506D}"/>
                  </c:ext>
                </c:extLst>
              </c15:ser>
            </c15:filteredLineSeries>
          </c:ext>
        </c:extLst>
      </c:lineChart>
      <c:dateAx>
        <c:axId val="56766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</a:t>
                </a:r>
                <a:r>
                  <a:rPr lang="en-US" baseline="0"/>
                  <a:t> USDA, </a:t>
                </a:r>
                <a:r>
                  <a:rPr lang="en-US" i="0" baseline="0"/>
                  <a:t>Foreign Agricultural Service</a:t>
                </a:r>
                <a:r>
                  <a:rPr lang="en-US" i="1" baseline="0"/>
                  <a:t>, </a:t>
                </a:r>
                <a:r>
                  <a:rPr lang="en-US" b="0" i="1">
                    <a:effectLst/>
                  </a:rPr>
                  <a:t>Oilseeds: World Markets and Trade</a:t>
                </a:r>
                <a:r>
                  <a:rPr lang="en-US" b="0" i="0">
                    <a:effectLst/>
                  </a:rPr>
                  <a:t>.</a:t>
                </a:r>
              </a:p>
              <a:p>
                <a:pPr>
                  <a:defRPr/>
                </a:pPr>
                <a:br>
                  <a:rPr lang="en-US"/>
                </a:br>
                <a:endParaRPr lang="en-US"/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7663680"/>
        <c:crosses val="autoZero"/>
        <c:auto val="0"/>
        <c:lblOffset val="100"/>
        <c:baseTimeUnit val="months"/>
      </c:dateAx>
      <c:valAx>
        <c:axId val="567663680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  <a:r>
                  <a:rPr lang="en-US" baseline="0"/>
                  <a:t> metric tons</a:t>
                </a:r>
              </a:p>
            </c:rich>
          </c:tx>
          <c:layout>
            <c:manualLayout>
              <c:xMode val="edge"/>
              <c:yMode val="edge"/>
              <c:x val="2.7554439498086128E-2"/>
              <c:y val="9.399907669638699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7662592"/>
        <c:crosses val="autoZero"/>
        <c:crossBetween val="between"/>
        <c:majorUnit val="5"/>
        <c:minorUnit val="1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034505736126897"/>
          <c:y val="0.95654320995887476"/>
          <c:w val="0.70550574532232635"/>
          <c:h val="3.1433503050253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High prices and strong crush push soybean product values to new heights</a:t>
            </a:r>
            <a:endParaRPr lang="en-US" sz="1200"/>
          </a:p>
        </c:rich>
      </c:tx>
      <c:layout>
        <c:manualLayout>
          <c:xMode val="edge"/>
          <c:yMode val="edge"/>
          <c:x val="8.9739387613349278E-2"/>
          <c:y val="7.73321498368799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8008744065944"/>
          <c:y val="0.14577660682279012"/>
          <c:w val="0.83514967076962099"/>
          <c:h val="0.7685526951109193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'Oil Crops Chart Gallery Fig 1'!$C$1:$C$2</c:f>
              <c:strCache>
                <c:ptCount val="2"/>
                <c:pt idx="0">
                  <c:v>Soybean meal produced</c:v>
                </c:pt>
              </c:strCache>
            </c:strRef>
          </c:tx>
          <c:invertIfNegative val="0"/>
          <c:cat>
            <c:numRef>
              <c:f>'Oil Crops Chart Gallery Fig 1'!$A$4:$A$19</c:f>
              <c:numCache>
                <c:formatCode>mmm\-yy</c:formatCode>
                <c:ptCount val="1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</c:numCache>
            </c:numRef>
          </c:cat>
          <c:val>
            <c:numRef>
              <c:f>'Oil Crops Chart Gallery Fig 1'!$C$4:$C$20</c:f>
              <c:numCache>
                <c:formatCode>0.0</c:formatCode>
                <c:ptCount val="17"/>
                <c:pt idx="0">
                  <c:v>4381.8320000000003</c:v>
                </c:pt>
                <c:pt idx="1">
                  <c:v>4111.7719999999999</c:v>
                </c:pt>
                <c:pt idx="2">
                  <c:v>4337.5720000000001</c:v>
                </c:pt>
                <c:pt idx="3">
                  <c:v>4425.7489999999998</c:v>
                </c:pt>
                <c:pt idx="4">
                  <c:v>4122.6279999999997</c:v>
                </c:pt>
                <c:pt idx="5">
                  <c:v>4517.9129999999996</c:v>
                </c:pt>
                <c:pt idx="6">
                  <c:v>4312.1769999999997</c:v>
                </c:pt>
                <c:pt idx="7">
                  <c:v>4240.9799999999996</c:v>
                </c:pt>
                <c:pt idx="8">
                  <c:v>4167.4759999999997</c:v>
                </c:pt>
                <c:pt idx="9">
                  <c:v>4361.17</c:v>
                </c:pt>
                <c:pt idx="10">
                  <c:v>4111.7449999999999</c:v>
                </c:pt>
                <c:pt idx="11">
                  <c:v>4009.4160000000002</c:v>
                </c:pt>
                <c:pt idx="12" formatCode="0.00">
                  <c:v>4615.5920000000006</c:v>
                </c:pt>
                <c:pt idx="13" formatCode="0.00">
                  <c:v>4516.2939999999999</c:v>
                </c:pt>
                <c:pt idx="14" formatCode="0.00">
                  <c:v>4568.97</c:v>
                </c:pt>
                <c:pt idx="15" formatCode="0.00">
                  <c:v>4665.6540000000005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4-407D-ADFF-EA6454DE51A6}"/>
            </c:ext>
          </c:extLst>
        </c:ser>
        <c:ser>
          <c:idx val="1"/>
          <c:order val="2"/>
          <c:tx>
            <c:strRef>
              <c:f>'Oil Crops Chart Gallery Fig 1'!$D$1</c:f>
              <c:strCache>
                <c:ptCount val="1"/>
                <c:pt idx="0">
                  <c:v>Soybean oil produced</c:v>
                </c:pt>
              </c:strCache>
            </c:strRef>
          </c:tx>
          <c:invertIfNegative val="0"/>
          <c:cat>
            <c:numRef>
              <c:f>'Oil Crops Chart Gallery Fig 1'!$A$4:$A$19</c:f>
              <c:numCache>
                <c:formatCode>mmm\-yy</c:formatCode>
                <c:ptCount val="1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</c:numCache>
            </c:numRef>
          </c:cat>
          <c:val>
            <c:numRef>
              <c:f>'Oil Crops Chart Gallery Fig 1'!$D$4:$D$19</c:f>
              <c:numCache>
                <c:formatCode>0.0</c:formatCode>
                <c:ptCount val="16"/>
                <c:pt idx="0">
                  <c:v>1074.9845</c:v>
                </c:pt>
                <c:pt idx="1">
                  <c:v>999.82399999999996</c:v>
                </c:pt>
                <c:pt idx="2">
                  <c:v>1055.4680000000001</c:v>
                </c:pt>
                <c:pt idx="3">
                  <c:v>1077.2135000000001</c:v>
                </c:pt>
                <c:pt idx="4">
                  <c:v>999.76199999999994</c:v>
                </c:pt>
                <c:pt idx="5">
                  <c:v>1100.5340000000001</c:v>
                </c:pt>
                <c:pt idx="6">
                  <c:v>1049.7325000000001</c:v>
                </c:pt>
                <c:pt idx="7">
                  <c:v>1028.8085000000001</c:v>
                </c:pt>
                <c:pt idx="8">
                  <c:v>1017.6345</c:v>
                </c:pt>
                <c:pt idx="9">
                  <c:v>1061.6185</c:v>
                </c:pt>
                <c:pt idx="10">
                  <c:v>1006.4115</c:v>
                </c:pt>
                <c:pt idx="11">
                  <c:v>983.81050000000005</c:v>
                </c:pt>
                <c:pt idx="12">
                  <c:v>1141.2355</c:v>
                </c:pt>
                <c:pt idx="13">
                  <c:v>1103.396</c:v>
                </c:pt>
                <c:pt idx="14">
                  <c:v>1115.8589999999999</c:v>
                </c:pt>
                <c:pt idx="15">
                  <c:v>1154.376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4-407D-ADFF-EA6454DE5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7662592"/>
        <c:axId val="567663680"/>
      </c:barChart>
      <c:lineChart>
        <c:grouping val="standard"/>
        <c:varyColors val="0"/>
        <c:ser>
          <c:idx val="3"/>
          <c:order val="0"/>
          <c:tx>
            <c:strRef>
              <c:f>'Oil Crops Chart Gallery Fig 1'!$B$1:$B$2</c:f>
              <c:strCache>
                <c:ptCount val="2"/>
                <c:pt idx="0">
                  <c:v>Soybeans spot price, Decatur, Illinois (right axis)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'Oil Crops Chart Gallery Fig 1'!$A$4:$A$20</c:f>
              <c:numCache>
                <c:formatCode>mmm\-yy</c:formatCode>
                <c:ptCount val="17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</c:numCache>
            </c:numRef>
          </c:cat>
          <c:val>
            <c:numRef>
              <c:f>'Oil Crops Chart Gallery Fig 1'!$B$4:$B$19</c:f>
              <c:numCache>
                <c:formatCode>0.00</c:formatCode>
                <c:ptCount val="16"/>
                <c:pt idx="0">
                  <c:v>8.6</c:v>
                </c:pt>
                <c:pt idx="1">
                  <c:v>8.59</c:v>
                </c:pt>
                <c:pt idx="2">
                  <c:v>8.6999999999999993</c:v>
                </c:pt>
                <c:pt idx="3">
                  <c:v>8.84</c:v>
                </c:pt>
                <c:pt idx="4">
                  <c:v>8.6</c:v>
                </c:pt>
                <c:pt idx="5">
                  <c:v>8.4700000000000006</c:v>
                </c:pt>
                <c:pt idx="6">
                  <c:v>8.35</c:v>
                </c:pt>
                <c:pt idx="7">
                  <c:v>8.2799999999999994</c:v>
                </c:pt>
                <c:pt idx="8">
                  <c:v>8.34</c:v>
                </c:pt>
                <c:pt idx="9">
                  <c:v>8.5</c:v>
                </c:pt>
                <c:pt idx="10">
                  <c:v>8.66</c:v>
                </c:pt>
                <c:pt idx="11">
                  <c:v>9.24</c:v>
                </c:pt>
                <c:pt idx="12">
                  <c:v>9.6300000000000008</c:v>
                </c:pt>
                <c:pt idx="13">
                  <c:v>10.3</c:v>
                </c:pt>
                <c:pt idx="14">
                  <c:v>10.5</c:v>
                </c:pt>
                <c:pt idx="15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44-407D-ADFF-EA6454DE5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037936"/>
        <c:axId val="1090539664"/>
      </c:lineChart>
      <c:dateAx>
        <c:axId val="56766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Source: USDA, Agricultural Marketing Service, </a:t>
                </a:r>
                <a:r>
                  <a:rPr lang="en-US" sz="1200" i="1"/>
                  <a:t>Central Illinois Soybean Processor Report</a:t>
                </a:r>
                <a:r>
                  <a:rPr lang="en-US" sz="1200"/>
                  <a:t>; USDA,</a:t>
                </a:r>
                <a:r>
                  <a:rPr lang="en-US" sz="1200" baseline="0"/>
                  <a:t> National Agricultural Statistics Service, </a:t>
                </a:r>
                <a:r>
                  <a:rPr lang="en-US" sz="1200" i="1" baseline="0"/>
                  <a:t>Fats and Oils</a:t>
                </a:r>
                <a:r>
                  <a:rPr lang="en-US" sz="1200" i="1"/>
                  <a:t>.</a:t>
                </a:r>
              </a:p>
            </c:rich>
          </c:tx>
          <c:layout>
            <c:manualLayout>
              <c:xMode val="edge"/>
              <c:yMode val="edge"/>
              <c:x val="0.11966551004013604"/>
              <c:y val="0.93921763457630392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7663680"/>
        <c:crosses val="autoZero"/>
        <c:auto val="1"/>
        <c:lblOffset val="100"/>
        <c:baseTimeUnit val="months"/>
      </c:dateAx>
      <c:valAx>
        <c:axId val="567663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Short</a:t>
                </a:r>
                <a:r>
                  <a:rPr lang="en-US" baseline="0"/>
                  <a:t> tons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0365917119493364E-2"/>
              <c:y val="0.11165788073401182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7662592"/>
        <c:crosses val="autoZero"/>
        <c:crossBetween val="between"/>
      </c:valAx>
      <c:valAx>
        <c:axId val="10905396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Dollars per bushel</a:t>
                </a:r>
              </a:p>
            </c:rich>
          </c:tx>
          <c:layout>
            <c:manualLayout>
              <c:xMode val="edge"/>
              <c:yMode val="edge"/>
              <c:x val="0.92630136840368749"/>
              <c:y val="0.1104467516681458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90037936"/>
        <c:crosses val="max"/>
        <c:crossBetween val="between"/>
      </c:valAx>
      <c:dateAx>
        <c:axId val="10900379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90539664"/>
        <c:crosses val="autoZero"/>
        <c:auto val="1"/>
        <c:lblOffset val="100"/>
        <c:baseTimeUnit val="months"/>
        <c:majorUnit val="1"/>
        <c:minorUnit val="1"/>
      </c:date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Tighter Malaysian palm oil supplies spark still</a:t>
            </a:r>
            <a:r>
              <a:rPr lang="en-US" sz="1050" baseline="0"/>
              <a:t> higher</a:t>
            </a:r>
            <a:r>
              <a:rPr lang="en-US" sz="1050"/>
              <a:t> prices</a:t>
            </a:r>
          </a:p>
        </c:rich>
      </c:tx>
      <c:layout>
        <c:manualLayout>
          <c:xMode val="edge"/>
          <c:yMode val="edge"/>
          <c:x val="3.9317714278940818E-2"/>
          <c:y val="6.2084751592777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Stocks (right axis)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'Oil Crops Chart Gallery Fig 2'!$A$4:$A$16</c:f>
              <c:numCache>
                <c:formatCode>mmm\-yyyy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'Oil Crops Chart Gallery Fig 2'!$C$4:$C$16</c:f>
              <c:numCache>
                <c:formatCode>0.0</c:formatCode>
                <c:ptCount val="13"/>
                <c:pt idx="0">
                  <c:v>2018</c:v>
                </c:pt>
                <c:pt idx="1">
                  <c:v>1318</c:v>
                </c:pt>
                <c:pt idx="2">
                  <c:v>1218</c:v>
                </c:pt>
                <c:pt idx="3">
                  <c:v>2074</c:v>
                </c:pt>
                <c:pt idx="4">
                  <c:v>1974</c:v>
                </c:pt>
                <c:pt idx="5">
                  <c:v>1974</c:v>
                </c:pt>
                <c:pt idx="6">
                  <c:v>1974</c:v>
                </c:pt>
                <c:pt idx="7">
                  <c:v>2224</c:v>
                </c:pt>
                <c:pt idx="8">
                  <c:v>2104</c:v>
                </c:pt>
                <c:pt idx="9">
                  <c:v>2104</c:v>
                </c:pt>
                <c:pt idx="10">
                  <c:v>1650</c:v>
                </c:pt>
                <c:pt idx="11">
                  <c:v>1650</c:v>
                </c:pt>
                <c:pt idx="12" formatCode="#,##0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2-4B60-ADA8-1F5A33F0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70351600"/>
        <c:axId val="-370352688"/>
      </c:barChart>
      <c:lineChart>
        <c:grouping val="stack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'Oil Crops Chart Gallery Fig 2'!$A$4:$A$16</c:f>
              <c:numCache>
                <c:formatCode>mmm\-yyyy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'Oil Crops Chart Gallery Fig 2'!$B$4:$B$16</c:f>
              <c:numCache>
                <c:formatCode>0</c:formatCode>
                <c:ptCount val="13"/>
                <c:pt idx="0">
                  <c:v>677</c:v>
                </c:pt>
                <c:pt idx="1">
                  <c:v>761</c:v>
                </c:pt>
                <c:pt idx="2">
                  <c:v>586</c:v>
                </c:pt>
                <c:pt idx="3">
                  <c:v>562</c:v>
                </c:pt>
                <c:pt idx="4">
                  <c:v>529</c:v>
                </c:pt>
                <c:pt idx="5">
                  <c:v>604</c:v>
                </c:pt>
                <c:pt idx="6">
                  <c:v>646</c:v>
                </c:pt>
                <c:pt idx="7">
                  <c:v>710</c:v>
                </c:pt>
                <c:pt idx="8">
                  <c:v>746</c:v>
                </c:pt>
                <c:pt idx="9">
                  <c:v>771</c:v>
                </c:pt>
                <c:pt idx="10">
                  <c:v>867</c:v>
                </c:pt>
                <c:pt idx="11">
                  <c:v>935</c:v>
                </c:pt>
                <c:pt idx="12">
                  <c:v>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2-4B60-ADA8-1F5A33F0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0342352"/>
        <c:axId val="-370340720"/>
      </c:lineChart>
      <c:catAx>
        <c:axId val="-37034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Foreign Agricultural Service, </a:t>
                </a:r>
                <a:r>
                  <a:rPr lang="en-US" i="1"/>
                  <a:t>Oilseeds: World Markets and Trade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0340720"/>
        <c:crosses val="autoZero"/>
        <c:auto val="0"/>
        <c:lblAlgn val="ctr"/>
        <c:lblOffset val="100"/>
        <c:noMultiLvlLbl val="0"/>
      </c:catAx>
      <c:valAx>
        <c:axId val="-37034072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Dollars per pound</a:t>
                </a:r>
              </a:p>
            </c:rich>
          </c:tx>
          <c:layout>
            <c:manualLayout>
              <c:xMode val="edge"/>
              <c:yMode val="edge"/>
              <c:x val="4.2853050064313593E-2"/>
              <c:y val="0.1253674039013575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0342352"/>
        <c:crosses val="autoZero"/>
        <c:crossBetween val="between"/>
        <c:majorUnit val="100"/>
        <c:minorUnit val="50"/>
      </c:valAx>
      <c:valAx>
        <c:axId val="-370352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1,000 Metric tons</a:t>
                </a:r>
              </a:p>
            </c:rich>
          </c:tx>
          <c:layout>
            <c:manualLayout>
              <c:xMode val="edge"/>
              <c:yMode val="edge"/>
              <c:x val="0.82531769375202646"/>
              <c:y val="0.116131554696785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-370351600"/>
        <c:crosses val="max"/>
        <c:crossBetween val="between"/>
      </c:valAx>
      <c:catAx>
        <c:axId val="-37035160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-370352688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0.6292517778141804"/>
          <c:y val="0.90887794909810471"/>
          <c:w val="0.17180029856541443"/>
          <c:h val="9.089346669009641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Quick start for U.S. soybean meal export sales as crush remains strong</a:t>
            </a:r>
            <a:endParaRPr lang="en-US" sz="1050"/>
          </a:p>
        </c:rich>
      </c:tx>
      <c:layout>
        <c:manualLayout>
          <c:xMode val="edge"/>
          <c:yMode val="edge"/>
          <c:x val="2.9615954329162329E-2"/>
          <c:y val="6.2138069364808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3'!$C$2</c:f>
              <c:strCache>
                <c:ptCount val="1"/>
                <c:pt idx="0">
                  <c:v>2018/19 Accumulated exports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'Oil Crops Chart Gallery Fig 3'!$A$4:$A$55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'Oil Crops Chart Gallery Fig 3'!$C$4:$C$55</c:f>
              <c:numCache>
                <c:formatCode>#,##0.0</c:formatCode>
                <c:ptCount val="52"/>
                <c:pt idx="0">
                  <c:v>128.26</c:v>
                </c:pt>
                <c:pt idx="1">
                  <c:v>286.726</c:v>
                </c:pt>
                <c:pt idx="2">
                  <c:v>472.12200000000001</c:v>
                </c:pt>
                <c:pt idx="3">
                  <c:v>691.07600000000002</c:v>
                </c:pt>
                <c:pt idx="4">
                  <c:v>928.66800000000001</c:v>
                </c:pt>
                <c:pt idx="5">
                  <c:v>1115.2539999999999</c:v>
                </c:pt>
                <c:pt idx="6">
                  <c:v>1385.422</c:v>
                </c:pt>
                <c:pt idx="7">
                  <c:v>1595.2929999999999</c:v>
                </c:pt>
                <c:pt idx="8">
                  <c:v>1861.3309999999999</c:v>
                </c:pt>
                <c:pt idx="9">
                  <c:v>2125.61</c:v>
                </c:pt>
                <c:pt idx="10">
                  <c:v>2360.2809999999999</c:v>
                </c:pt>
                <c:pt idx="11">
                  <c:v>2546.9250000000002</c:v>
                </c:pt>
                <c:pt idx="12">
                  <c:v>2849.1390000000001</c:v>
                </c:pt>
                <c:pt idx="13">
                  <c:v>2973.5529999999999</c:v>
                </c:pt>
                <c:pt idx="14">
                  <c:v>2973.5529999999999</c:v>
                </c:pt>
                <c:pt idx="15">
                  <c:v>2973.5529999999999</c:v>
                </c:pt>
                <c:pt idx="16">
                  <c:v>2973.5529999999999</c:v>
                </c:pt>
                <c:pt idx="17">
                  <c:v>2973.5529999999999</c:v>
                </c:pt>
                <c:pt idx="18">
                  <c:v>2973.5529999999999</c:v>
                </c:pt>
                <c:pt idx="19">
                  <c:v>4616.7939999999999</c:v>
                </c:pt>
                <c:pt idx="20">
                  <c:v>4965.1899999999996</c:v>
                </c:pt>
                <c:pt idx="21">
                  <c:v>5137.6459999999997</c:v>
                </c:pt>
                <c:pt idx="22">
                  <c:v>5329.8459999999995</c:v>
                </c:pt>
                <c:pt idx="23">
                  <c:v>5515.1980000000003</c:v>
                </c:pt>
                <c:pt idx="24">
                  <c:v>5733.4409999999998</c:v>
                </c:pt>
                <c:pt idx="25">
                  <c:v>6028.5</c:v>
                </c:pt>
                <c:pt idx="26">
                  <c:v>6272.33</c:v>
                </c:pt>
                <c:pt idx="27">
                  <c:v>6655.1559999999999</c:v>
                </c:pt>
                <c:pt idx="28">
                  <c:v>6951.14</c:v>
                </c:pt>
                <c:pt idx="29">
                  <c:v>7176.9639999999999</c:v>
                </c:pt>
                <c:pt idx="30">
                  <c:v>7441.7690000000002</c:v>
                </c:pt>
                <c:pt idx="31">
                  <c:v>7654.6109999999999</c:v>
                </c:pt>
                <c:pt idx="32">
                  <c:v>7862.5789999999997</c:v>
                </c:pt>
                <c:pt idx="33">
                  <c:v>8105.6530000000002</c:v>
                </c:pt>
                <c:pt idx="34">
                  <c:v>8270.2469999999994</c:v>
                </c:pt>
                <c:pt idx="35">
                  <c:v>8430.5550000000003</c:v>
                </c:pt>
                <c:pt idx="36">
                  <c:v>8597.8629999999994</c:v>
                </c:pt>
                <c:pt idx="37">
                  <c:v>8704.9590000000007</c:v>
                </c:pt>
                <c:pt idx="38">
                  <c:v>8904.1959999999999</c:v>
                </c:pt>
                <c:pt idx="39">
                  <c:v>9015.1610000000001</c:v>
                </c:pt>
                <c:pt idx="40">
                  <c:v>9208.3140000000003</c:v>
                </c:pt>
                <c:pt idx="41">
                  <c:v>9336.0679999999993</c:v>
                </c:pt>
                <c:pt idx="42">
                  <c:v>9538.24</c:v>
                </c:pt>
                <c:pt idx="43">
                  <c:v>9704.4359999999997</c:v>
                </c:pt>
                <c:pt idx="44">
                  <c:v>9974.8310000000001</c:v>
                </c:pt>
                <c:pt idx="45">
                  <c:v>10076.924000000001</c:v>
                </c:pt>
                <c:pt idx="46">
                  <c:v>10372.196</c:v>
                </c:pt>
                <c:pt idx="47">
                  <c:v>10634.084000000001</c:v>
                </c:pt>
                <c:pt idx="48">
                  <c:v>10773.343999999999</c:v>
                </c:pt>
                <c:pt idx="49">
                  <c:v>10969.276</c:v>
                </c:pt>
                <c:pt idx="50">
                  <c:v>11166.97</c:v>
                </c:pt>
                <c:pt idx="51">
                  <c:v>11347.196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6F-47BF-93FC-62BFA4E1126B}"/>
            </c:ext>
          </c:extLst>
        </c:ser>
        <c:ser>
          <c:idx val="2"/>
          <c:order val="1"/>
          <c:tx>
            <c:strRef>
              <c:f>'Oil Crops Chart Gallery Fig 3'!$B$2</c:f>
              <c:strCache>
                <c:ptCount val="1"/>
                <c:pt idx="0">
                  <c:v>2017/18 Accumulated exports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'Oil Crops Chart Gallery Fig 3'!$A$4:$A$55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'Oil Crops Chart Gallery Fig 3'!$B$4:$B$55</c:f>
              <c:numCache>
                <c:formatCode>#,##0.0</c:formatCode>
                <c:ptCount val="52"/>
                <c:pt idx="0">
                  <c:v>34.335000000000001</c:v>
                </c:pt>
                <c:pt idx="1">
                  <c:v>188.995</c:v>
                </c:pt>
                <c:pt idx="2">
                  <c:v>322.22899999999998</c:v>
                </c:pt>
                <c:pt idx="3">
                  <c:v>517.28399999999999</c:v>
                </c:pt>
                <c:pt idx="4">
                  <c:v>712.74900000000002</c:v>
                </c:pt>
                <c:pt idx="5">
                  <c:v>1028.703</c:v>
                </c:pt>
                <c:pt idx="6">
                  <c:v>1175.306</c:v>
                </c:pt>
                <c:pt idx="7">
                  <c:v>1349.163</c:v>
                </c:pt>
                <c:pt idx="8">
                  <c:v>1609.3889999999999</c:v>
                </c:pt>
                <c:pt idx="9">
                  <c:v>1875.4829999999999</c:v>
                </c:pt>
                <c:pt idx="10">
                  <c:v>2136.4459999999999</c:v>
                </c:pt>
                <c:pt idx="11">
                  <c:v>2358.7750000000001</c:v>
                </c:pt>
                <c:pt idx="12">
                  <c:v>2573.1439999999998</c:v>
                </c:pt>
                <c:pt idx="13">
                  <c:v>2714.3290000000002</c:v>
                </c:pt>
                <c:pt idx="14">
                  <c:v>2902.942</c:v>
                </c:pt>
                <c:pt idx="15">
                  <c:v>3099.74</c:v>
                </c:pt>
                <c:pt idx="16">
                  <c:v>3360.259</c:v>
                </c:pt>
                <c:pt idx="17">
                  <c:v>3651.163</c:v>
                </c:pt>
                <c:pt idx="18">
                  <c:v>3904.7350000000001</c:v>
                </c:pt>
                <c:pt idx="19">
                  <c:v>4233.9809999999998</c:v>
                </c:pt>
                <c:pt idx="20">
                  <c:v>4498.5680000000002</c:v>
                </c:pt>
                <c:pt idx="21">
                  <c:v>4811.2190000000001</c:v>
                </c:pt>
                <c:pt idx="22">
                  <c:v>5083.4459999999999</c:v>
                </c:pt>
                <c:pt idx="23">
                  <c:v>5230.9790000000003</c:v>
                </c:pt>
                <c:pt idx="24">
                  <c:v>5517.5749999999998</c:v>
                </c:pt>
                <c:pt idx="25">
                  <c:v>5708.3680000000004</c:v>
                </c:pt>
                <c:pt idx="26">
                  <c:v>6005.7309999999998</c:v>
                </c:pt>
                <c:pt idx="27">
                  <c:v>6280.0219999999999</c:v>
                </c:pt>
                <c:pt idx="28">
                  <c:v>6548.8779999999997</c:v>
                </c:pt>
                <c:pt idx="29">
                  <c:v>6855.3419999999996</c:v>
                </c:pt>
                <c:pt idx="30">
                  <c:v>7156.32</c:v>
                </c:pt>
                <c:pt idx="31">
                  <c:v>7416.6769999999997</c:v>
                </c:pt>
                <c:pt idx="32">
                  <c:v>7673.6670000000004</c:v>
                </c:pt>
                <c:pt idx="33">
                  <c:v>7879.8459999999995</c:v>
                </c:pt>
                <c:pt idx="34">
                  <c:v>8076.5159999999996</c:v>
                </c:pt>
                <c:pt idx="35">
                  <c:v>8386.4410000000007</c:v>
                </c:pt>
                <c:pt idx="36">
                  <c:v>8596.5830000000005</c:v>
                </c:pt>
                <c:pt idx="37">
                  <c:v>8869.9349999999995</c:v>
                </c:pt>
                <c:pt idx="38">
                  <c:v>9120.8449999999993</c:v>
                </c:pt>
                <c:pt idx="39">
                  <c:v>9274.7710000000006</c:v>
                </c:pt>
                <c:pt idx="40">
                  <c:v>9616.6980000000003</c:v>
                </c:pt>
                <c:pt idx="41">
                  <c:v>9832.0660000000007</c:v>
                </c:pt>
                <c:pt idx="42">
                  <c:v>10079.728999999999</c:v>
                </c:pt>
                <c:pt idx="43">
                  <c:v>10335.317999999999</c:v>
                </c:pt>
                <c:pt idx="44">
                  <c:v>10546.023999999999</c:v>
                </c:pt>
                <c:pt idx="45">
                  <c:v>10730.507</c:v>
                </c:pt>
                <c:pt idx="46">
                  <c:v>10983.598</c:v>
                </c:pt>
                <c:pt idx="47">
                  <c:v>11150.569</c:v>
                </c:pt>
                <c:pt idx="48">
                  <c:v>11356.829</c:v>
                </c:pt>
                <c:pt idx="49">
                  <c:v>11581.002</c:v>
                </c:pt>
                <c:pt idx="50">
                  <c:v>11858.800999999999</c:v>
                </c:pt>
                <c:pt idx="51">
                  <c:v>12067.429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F-47BF-93FC-62BFA4E1126B}"/>
            </c:ext>
          </c:extLst>
        </c:ser>
        <c:ser>
          <c:idx val="4"/>
          <c:order val="2"/>
          <c:tx>
            <c:strRef>
              <c:f>'Oil Crops Chart Gallery Fig 3'!$D$2</c:f>
              <c:strCache>
                <c:ptCount val="1"/>
                <c:pt idx="0">
                  <c:v>2019/20 Accumulated exports</c:v>
                </c:pt>
              </c:strCache>
            </c:strRef>
          </c:tx>
          <c:marker>
            <c:symbol val="diamond"/>
            <c:size val="5"/>
          </c:marker>
          <c:cat>
            <c:strRef>
              <c:f>'Oil Crops Chart Gallery Fig 3'!$A$4:$A$55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'Oil Crops Chart Gallery Fig 3'!$C$4:$C$55</c:f>
              <c:numCache>
                <c:formatCode>#,##0.0</c:formatCode>
                <c:ptCount val="52"/>
                <c:pt idx="0">
                  <c:v>128.26</c:v>
                </c:pt>
                <c:pt idx="1">
                  <c:v>286.726</c:v>
                </c:pt>
                <c:pt idx="2">
                  <c:v>472.12200000000001</c:v>
                </c:pt>
                <c:pt idx="3">
                  <c:v>691.07600000000002</c:v>
                </c:pt>
                <c:pt idx="4">
                  <c:v>928.66800000000001</c:v>
                </c:pt>
                <c:pt idx="5">
                  <c:v>1115.2539999999999</c:v>
                </c:pt>
                <c:pt idx="6">
                  <c:v>1385.422</c:v>
                </c:pt>
                <c:pt idx="7">
                  <c:v>1595.2929999999999</c:v>
                </c:pt>
                <c:pt idx="8">
                  <c:v>1861.3309999999999</c:v>
                </c:pt>
                <c:pt idx="9">
                  <c:v>2125.61</c:v>
                </c:pt>
                <c:pt idx="10">
                  <c:v>2360.2809999999999</c:v>
                </c:pt>
                <c:pt idx="11">
                  <c:v>2546.9250000000002</c:v>
                </c:pt>
                <c:pt idx="12">
                  <c:v>2849.1390000000001</c:v>
                </c:pt>
                <c:pt idx="13">
                  <c:v>2973.5529999999999</c:v>
                </c:pt>
                <c:pt idx="14">
                  <c:v>2973.5529999999999</c:v>
                </c:pt>
                <c:pt idx="15">
                  <c:v>2973.5529999999999</c:v>
                </c:pt>
                <c:pt idx="16">
                  <c:v>2973.5529999999999</c:v>
                </c:pt>
                <c:pt idx="17">
                  <c:v>2973.5529999999999</c:v>
                </c:pt>
                <c:pt idx="18">
                  <c:v>2973.5529999999999</c:v>
                </c:pt>
                <c:pt idx="19">
                  <c:v>4616.7939999999999</c:v>
                </c:pt>
                <c:pt idx="20">
                  <c:v>4965.1899999999996</c:v>
                </c:pt>
                <c:pt idx="21">
                  <c:v>5137.6459999999997</c:v>
                </c:pt>
                <c:pt idx="22">
                  <c:v>5329.8459999999995</c:v>
                </c:pt>
                <c:pt idx="23">
                  <c:v>5515.1980000000003</c:v>
                </c:pt>
                <c:pt idx="24">
                  <c:v>5733.4409999999998</c:v>
                </c:pt>
                <c:pt idx="25">
                  <c:v>6028.5</c:v>
                </c:pt>
                <c:pt idx="26">
                  <c:v>6272.33</c:v>
                </c:pt>
                <c:pt idx="27">
                  <c:v>6655.1559999999999</c:v>
                </c:pt>
                <c:pt idx="28">
                  <c:v>6951.14</c:v>
                </c:pt>
                <c:pt idx="29">
                  <c:v>7176.9639999999999</c:v>
                </c:pt>
                <c:pt idx="30">
                  <c:v>7441.7690000000002</c:v>
                </c:pt>
                <c:pt idx="31">
                  <c:v>7654.6109999999999</c:v>
                </c:pt>
                <c:pt idx="32">
                  <c:v>7862.5789999999997</c:v>
                </c:pt>
                <c:pt idx="33">
                  <c:v>8105.6530000000002</c:v>
                </c:pt>
                <c:pt idx="34">
                  <c:v>8270.2469999999994</c:v>
                </c:pt>
                <c:pt idx="35">
                  <c:v>8430.5550000000003</c:v>
                </c:pt>
                <c:pt idx="36">
                  <c:v>8597.8629999999994</c:v>
                </c:pt>
                <c:pt idx="37">
                  <c:v>8704.9590000000007</c:v>
                </c:pt>
                <c:pt idx="38">
                  <c:v>8904.1959999999999</c:v>
                </c:pt>
                <c:pt idx="39">
                  <c:v>9015.1610000000001</c:v>
                </c:pt>
                <c:pt idx="40">
                  <c:v>9208.3140000000003</c:v>
                </c:pt>
                <c:pt idx="41">
                  <c:v>9336.0679999999993</c:v>
                </c:pt>
                <c:pt idx="42">
                  <c:v>9538.24</c:v>
                </c:pt>
                <c:pt idx="43">
                  <c:v>9704.4359999999997</c:v>
                </c:pt>
                <c:pt idx="44">
                  <c:v>9974.8310000000001</c:v>
                </c:pt>
                <c:pt idx="45">
                  <c:v>10076.924000000001</c:v>
                </c:pt>
                <c:pt idx="46">
                  <c:v>10372.196</c:v>
                </c:pt>
                <c:pt idx="47">
                  <c:v>10634.084000000001</c:v>
                </c:pt>
                <c:pt idx="48">
                  <c:v>10773.343999999999</c:v>
                </c:pt>
                <c:pt idx="49">
                  <c:v>10969.276</c:v>
                </c:pt>
                <c:pt idx="50">
                  <c:v>11166.97</c:v>
                </c:pt>
                <c:pt idx="51">
                  <c:v>11347.196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6F-47BF-93FC-62BFA4E1126B}"/>
            </c:ext>
          </c:extLst>
        </c:ser>
        <c:ser>
          <c:idx val="5"/>
          <c:order val="3"/>
          <c:tx>
            <c:strRef>
              <c:f>'Oil Crops Chart Gallery Fig 3'!$E$2</c:f>
              <c:strCache>
                <c:ptCount val="1"/>
                <c:pt idx="0">
                  <c:v>2020/21 Accumulated exports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'Oil Crops Chart Gallery Fig 3'!$A$4:$A$55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'Oil Crops Chart Gallery Fig 3'!$E$4:$E$55</c:f>
              <c:numCache>
                <c:formatCode>#,##0.0</c:formatCode>
                <c:ptCount val="52"/>
                <c:pt idx="0">
                  <c:v>30.18</c:v>
                </c:pt>
                <c:pt idx="1">
                  <c:v>257.26900000000001</c:v>
                </c:pt>
                <c:pt idx="2">
                  <c:v>348.084</c:v>
                </c:pt>
                <c:pt idx="3">
                  <c:v>646.16999999999996</c:v>
                </c:pt>
                <c:pt idx="4">
                  <c:v>875.49800000000005</c:v>
                </c:pt>
                <c:pt idx="5">
                  <c:v>1099.9359999999999</c:v>
                </c:pt>
                <c:pt idx="6">
                  <c:v>1417.675</c:v>
                </c:pt>
                <c:pt idx="7">
                  <c:v>1680.8309999999999</c:v>
                </c:pt>
                <c:pt idx="8">
                  <c:v>1908.356</c:v>
                </c:pt>
                <c:pt idx="9">
                  <c:v>2132.732</c:v>
                </c:pt>
                <c:pt idx="10">
                  <c:v>2372.922</c:v>
                </c:pt>
                <c:pt idx="11">
                  <c:v>2687.0479999999998</c:v>
                </c:pt>
                <c:pt idx="12">
                  <c:v>2972.6880000000001</c:v>
                </c:pt>
                <c:pt idx="13">
                  <c:v>3252.6419999999998</c:v>
                </c:pt>
                <c:pt idx="14">
                  <c:v>3464.7249999999999</c:v>
                </c:pt>
                <c:pt idx="15">
                  <c:v>3703.7280000000001</c:v>
                </c:pt>
                <c:pt idx="16">
                  <c:v>4052.2629999999999</c:v>
                </c:pt>
                <c:pt idx="17">
                  <c:v>4251.6660000000002</c:v>
                </c:pt>
                <c:pt idx="18">
                  <c:v>4503.1390000000001</c:v>
                </c:pt>
                <c:pt idx="19">
                  <c:v>4871.8069999999998</c:v>
                </c:pt>
                <c:pt idx="20">
                  <c:v>5016.3770000000004</c:v>
                </c:pt>
                <c:pt idx="21">
                  <c:v>5449.1490000000003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6F-47BF-93FC-62BFA4E11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0346704"/>
        <c:axId val="-370349424"/>
      </c:lineChart>
      <c:catAx>
        <c:axId val="-37034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Source: USDA, Foreign Agricultural Service, </a:t>
                </a:r>
                <a:r>
                  <a:rPr lang="en-US" i="1"/>
                  <a:t>Export Sales</a:t>
                </a:r>
                <a:r>
                  <a:rPr lang="en-US" i="1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1.179857069729885E-2"/>
              <c:y val="0.96041545086193836"/>
            </c:manualLayout>
          </c:layout>
          <c:overlay val="0"/>
        </c:title>
        <c:numFmt formatCode="[$-409]d\-mmm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0349424"/>
        <c:crosses val="autoZero"/>
        <c:auto val="1"/>
        <c:lblAlgn val="ctr"/>
        <c:lblOffset val="100"/>
        <c:tickLblSkip val="4"/>
        <c:noMultiLvlLbl val="1"/>
      </c:catAx>
      <c:valAx>
        <c:axId val="-370349424"/>
        <c:scaling>
          <c:orientation val="minMax"/>
          <c:max val="15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1,000 metric tons</a:t>
                </a:r>
              </a:p>
            </c:rich>
          </c:tx>
          <c:layout>
            <c:manualLayout>
              <c:xMode val="edge"/>
              <c:yMode val="edge"/>
              <c:x val="3.2149278290418623E-2"/>
              <c:y val="0.1356110850239124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0346704"/>
        <c:crosses val="autoZero"/>
        <c:crossBetween val="between"/>
        <c:majorUnit val="5000"/>
        <c:minorUnit val="100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9188795534636378"/>
          <c:w val="1"/>
          <c:h val="9.07315356530154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76202</xdr:colOff>
      <xdr:row>1</xdr:row>
      <xdr:rowOff>87086</xdr:rowOff>
    </xdr:from>
    <xdr:to>
      <xdr:col>21</xdr:col>
      <xdr:colOff>228600</xdr:colOff>
      <xdr:row>34</xdr:row>
      <xdr:rowOff>10885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D188EE21-3212-44F1-A2AE-666FA627E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551794</xdr:colOff>
      <xdr:row>7</xdr:row>
      <xdr:rowOff>73268</xdr:rowOff>
    </xdr:from>
    <xdr:to>
      <xdr:col>25</xdr:col>
      <xdr:colOff>498228</xdr:colOff>
      <xdr:row>56</xdr:row>
      <xdr:rowOff>52550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97AD6C69-54ED-4493-8AD5-657F948BD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60614</xdr:colOff>
      <xdr:row>0</xdr:row>
      <xdr:rowOff>98713</xdr:rowOff>
    </xdr:from>
    <xdr:to>
      <xdr:col>13</xdr:col>
      <xdr:colOff>371475</xdr:colOff>
      <xdr:row>24</xdr:row>
      <xdr:rowOff>160193</xdr:rowOff>
    </xdr:to>
    <xdr:graphicFrame macro="">
      <xdr:nvGraphicFramePr>
        <xdr:cNvPr id="2" name="Chart 4" descr="A chart of montlhy Malaysian palm oil production and prices.">
          <a:extLst>
            <a:ext uri="{FF2B5EF4-FFF2-40B4-BE49-F238E27FC236}">
              <a16:creationId xmlns:a16="http://schemas.microsoft.com/office/drawing/2014/main" id="{7942744A-56E6-4AA4-A229-BCBE53566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279979</xdr:colOff>
      <xdr:row>0</xdr:row>
      <xdr:rowOff>144316</xdr:rowOff>
    </xdr:from>
    <xdr:to>
      <xdr:col>4</xdr:col>
      <xdr:colOff>274207</xdr:colOff>
      <xdr:row>2</xdr:row>
      <xdr:rowOff>17316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E4DF75-33E2-420B-AFDE-49694BB32913}"/>
            </a:ext>
          </a:extLst>
        </xdr:cNvPr>
        <xdr:cNvSpPr txBox="1"/>
      </xdr:nvSpPr>
      <xdr:spPr>
        <a:xfrm>
          <a:off x="2108779" y="144316"/>
          <a:ext cx="603828" cy="208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</xdr:row>
      <xdr:rowOff>38965</xdr:rowOff>
    </xdr:from>
    <xdr:to>
      <xdr:col>18</xdr:col>
      <xdr:colOff>505691</xdr:colOff>
      <xdr:row>31</xdr:row>
      <xdr:rowOff>131618</xdr:rowOff>
    </xdr:to>
    <xdr:graphicFrame macro="">
      <xdr:nvGraphicFramePr>
        <xdr:cNvPr id="2" name="Chart 4" descr="A chart of annual season ending soybean stocks..">
          <a:extLst>
            <a:ext uri="{FF2B5EF4-FFF2-40B4-BE49-F238E27FC236}">
              <a16:creationId xmlns:a16="http://schemas.microsoft.com/office/drawing/2014/main" id="{EFAD03A9-D933-4606-B3FE-AC87262CF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39831</xdr:colOff>
      <xdr:row>25</xdr:row>
      <xdr:rowOff>154133</xdr:rowOff>
    </xdr:from>
    <xdr:to>
      <xdr:col>7</xdr:col>
      <xdr:colOff>697921</xdr:colOff>
      <xdr:row>26</xdr:row>
      <xdr:rowOff>154132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19307A5-D190-4F55-8819-1ACF417EF136}"/>
            </a:ext>
          </a:extLst>
        </xdr:cNvPr>
        <xdr:cNvSpPr txBox="1"/>
      </xdr:nvSpPr>
      <xdr:spPr>
        <a:xfrm>
          <a:off x="6440631" y="4345133"/>
          <a:ext cx="658090" cy="1662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F24" sqref="F24"/>
    </sheetView>
  </sheetViews>
  <sheetFormatPr defaultColWidth="9.77734375" defaultRowHeight="13.2"/>
  <cols>
    <col min="1" max="1" width="64.77734375" style="28" customWidth="1"/>
    <col min="2" max="16384" width="9.77734375" style="20"/>
  </cols>
  <sheetData>
    <row r="1" spans="1:3" ht="44.25" customHeight="1">
      <c r="A1" s="19"/>
    </row>
    <row r="2" spans="1:3" ht="17.399999999999999">
      <c r="A2" s="21" t="s">
        <v>100</v>
      </c>
    </row>
    <row r="3" spans="1:3" s="23" customFormat="1" ht="10.199999999999999">
      <c r="A3" s="22"/>
    </row>
    <row r="4" spans="1:3">
      <c r="A4" s="24" t="s">
        <v>101</v>
      </c>
    </row>
    <row r="5" spans="1:3">
      <c r="A5" s="32">
        <f ca="1">TODAY()</f>
        <v>44266</v>
      </c>
      <c r="B5" s="25"/>
    </row>
    <row r="6" spans="1:3" s="23" customFormat="1">
      <c r="A6" s="22"/>
      <c r="B6" s="25"/>
      <c r="C6" s="26"/>
    </row>
    <row r="7" spans="1:3">
      <c r="A7" s="31" t="s">
        <v>136</v>
      </c>
      <c r="B7" s="27"/>
      <c r="C7" s="23"/>
    </row>
    <row r="8" spans="1:3">
      <c r="A8" s="31" t="s">
        <v>137</v>
      </c>
      <c r="B8" s="29"/>
    </row>
    <row r="9" spans="1:3">
      <c r="A9" s="31" t="s">
        <v>138</v>
      </c>
      <c r="B9" s="29"/>
    </row>
    <row r="10" spans="1:3">
      <c r="A10" s="31" t="s">
        <v>139</v>
      </c>
      <c r="B10" s="29"/>
    </row>
    <row r="11" spans="1:3">
      <c r="A11" s="31" t="s">
        <v>140</v>
      </c>
      <c r="B11" s="29"/>
    </row>
    <row r="12" spans="1:3">
      <c r="A12" s="31" t="s">
        <v>141</v>
      </c>
      <c r="B12" s="29"/>
    </row>
    <row r="13" spans="1:3">
      <c r="A13" s="31" t="s">
        <v>142</v>
      </c>
      <c r="B13" s="29"/>
    </row>
    <row r="14" spans="1:3">
      <c r="A14" s="31" t="s">
        <v>44</v>
      </c>
      <c r="B14" s="29"/>
    </row>
    <row r="15" spans="1:3">
      <c r="A15" s="31" t="s">
        <v>18</v>
      </c>
      <c r="B15" s="29"/>
    </row>
    <row r="16" spans="1:3">
      <c r="A16" s="31" t="s">
        <v>37</v>
      </c>
      <c r="B16" s="29"/>
    </row>
    <row r="17" spans="1:2">
      <c r="A17" s="30" t="s">
        <v>228</v>
      </c>
      <c r="B17" s="29"/>
    </row>
    <row r="18" spans="1:2">
      <c r="A18" s="30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6D767-B007-4D5E-A01A-E914C8E575D9}">
  <dimension ref="A1:H49"/>
  <sheetViews>
    <sheetView topLeftCell="B1" zoomScale="73" zoomScaleNormal="99" workbookViewId="0">
      <selection activeCell="D32" sqref="D32"/>
    </sheetView>
  </sheetViews>
  <sheetFormatPr defaultColWidth="8.88671875" defaultRowHeight="13.2"/>
  <cols>
    <col min="1" max="1" width="10.5546875" style="141" customWidth="1"/>
    <col min="2" max="2" width="41.6640625" style="141" bestFit="1" customWidth="1"/>
    <col min="3" max="3" width="27.77734375" style="141" bestFit="1" customWidth="1"/>
    <col min="4" max="4" width="25.6640625" style="141" bestFit="1" customWidth="1"/>
    <col min="5" max="5" width="9.5546875" style="141" bestFit="1" customWidth="1"/>
    <col min="6" max="6" width="10.5546875" style="141" customWidth="1"/>
    <col min="7" max="7" width="15.109375" style="141" bestFit="1" customWidth="1"/>
    <col min="8" max="11" width="10.5546875" style="141" customWidth="1"/>
    <col min="12" max="16384" width="8.88671875" style="141"/>
  </cols>
  <sheetData>
    <row r="1" spans="1:8" ht="15.6">
      <c r="A1" s="160" t="s">
        <v>172</v>
      </c>
      <c r="B1" s="160" t="s">
        <v>242</v>
      </c>
      <c r="C1" s="160" t="s">
        <v>240</v>
      </c>
      <c r="D1" s="160" t="s">
        <v>239</v>
      </c>
      <c r="E1" s="163"/>
    </row>
    <row r="2" spans="1:8" ht="15.6">
      <c r="A2" s="163"/>
      <c r="B2" s="162"/>
      <c r="C2" s="162"/>
      <c r="D2" s="162"/>
      <c r="E2" s="162"/>
    </row>
    <row r="3" spans="1:8">
      <c r="A3" s="160"/>
      <c r="B3" s="161" t="s">
        <v>236</v>
      </c>
      <c r="C3" s="161" t="s">
        <v>241</v>
      </c>
      <c r="D3" s="160" t="s">
        <v>241</v>
      </c>
      <c r="E3" s="160"/>
    </row>
    <row r="4" spans="1:8" ht="13.8">
      <c r="A4" s="145">
        <v>43739</v>
      </c>
      <c r="B4" s="185">
        <v>8.6</v>
      </c>
      <c r="C4" s="159">
        <v>4381.8320000000003</v>
      </c>
      <c r="D4" s="159">
        <v>1074.9845</v>
      </c>
      <c r="E4" s="159"/>
      <c r="G4" s="178"/>
      <c r="H4" s="179"/>
    </row>
    <row r="5" spans="1:8" ht="13.8">
      <c r="A5" s="145">
        <v>43770</v>
      </c>
      <c r="B5" s="185">
        <v>8.59</v>
      </c>
      <c r="C5" s="159">
        <v>4111.7719999999999</v>
      </c>
      <c r="D5" s="159">
        <v>999.82399999999996</v>
      </c>
      <c r="E5" s="159"/>
      <c r="H5" s="179"/>
    </row>
    <row r="6" spans="1:8" ht="13.8">
      <c r="A6" s="145">
        <v>43800</v>
      </c>
      <c r="B6" s="185">
        <v>8.6999999999999993</v>
      </c>
      <c r="C6" s="159">
        <v>4337.5720000000001</v>
      </c>
      <c r="D6" s="159">
        <v>1055.4680000000001</v>
      </c>
      <c r="E6" s="159"/>
      <c r="H6" s="179"/>
    </row>
    <row r="7" spans="1:8" ht="13.8">
      <c r="A7" s="145">
        <v>43831</v>
      </c>
      <c r="B7" s="185">
        <v>8.84</v>
      </c>
      <c r="C7" s="159">
        <v>4425.7489999999998</v>
      </c>
      <c r="D7" s="159">
        <v>1077.2135000000001</v>
      </c>
      <c r="E7" s="159"/>
      <c r="H7" s="179"/>
    </row>
    <row r="8" spans="1:8" ht="13.8">
      <c r="A8" s="145">
        <v>43862</v>
      </c>
      <c r="B8" s="185">
        <v>8.6</v>
      </c>
      <c r="C8" s="159">
        <v>4122.6279999999997</v>
      </c>
      <c r="D8" s="159">
        <v>999.76199999999994</v>
      </c>
      <c r="E8" s="159"/>
      <c r="H8" s="179"/>
    </row>
    <row r="9" spans="1:8" ht="13.8">
      <c r="A9" s="145">
        <v>43891</v>
      </c>
      <c r="B9" s="185">
        <v>8.4700000000000006</v>
      </c>
      <c r="C9" s="159">
        <v>4517.9129999999996</v>
      </c>
      <c r="D9" s="159">
        <v>1100.5340000000001</v>
      </c>
      <c r="E9" s="159"/>
      <c r="H9" s="179"/>
    </row>
    <row r="10" spans="1:8" ht="13.8">
      <c r="A10" s="145">
        <v>43922</v>
      </c>
      <c r="B10" s="185">
        <v>8.35</v>
      </c>
      <c r="C10" s="159">
        <v>4312.1769999999997</v>
      </c>
      <c r="D10" s="159">
        <v>1049.7325000000001</v>
      </c>
      <c r="E10" s="159"/>
      <c r="H10" s="179"/>
    </row>
    <row r="11" spans="1:8" ht="13.8">
      <c r="A11" s="145">
        <v>43952</v>
      </c>
      <c r="B11" s="185">
        <v>8.2799999999999994</v>
      </c>
      <c r="C11" s="159">
        <v>4240.9799999999996</v>
      </c>
      <c r="D11" s="159">
        <v>1028.8085000000001</v>
      </c>
      <c r="E11" s="159"/>
      <c r="H11" s="179"/>
    </row>
    <row r="12" spans="1:8" ht="13.8">
      <c r="A12" s="145">
        <v>43983</v>
      </c>
      <c r="B12" s="185">
        <v>8.34</v>
      </c>
      <c r="C12" s="159">
        <v>4167.4759999999997</v>
      </c>
      <c r="D12" s="159">
        <v>1017.6345</v>
      </c>
      <c r="E12" s="159"/>
      <c r="H12" s="179"/>
    </row>
    <row r="13" spans="1:8" ht="13.8">
      <c r="A13" s="145">
        <v>44013</v>
      </c>
      <c r="B13" s="185">
        <v>8.5</v>
      </c>
      <c r="C13" s="159">
        <v>4361.17</v>
      </c>
      <c r="D13" s="159">
        <v>1061.6185</v>
      </c>
      <c r="E13" s="159"/>
      <c r="H13" s="179"/>
    </row>
    <row r="14" spans="1:8" ht="13.8">
      <c r="A14" s="145">
        <v>44044</v>
      </c>
      <c r="B14" s="185">
        <v>8.66</v>
      </c>
      <c r="C14" s="159">
        <v>4111.7449999999999</v>
      </c>
      <c r="D14" s="159">
        <v>1006.4115</v>
      </c>
      <c r="E14" s="159"/>
      <c r="H14" s="179"/>
    </row>
    <row r="15" spans="1:8" ht="13.8">
      <c r="A15" s="145">
        <v>44075</v>
      </c>
      <c r="B15" s="185">
        <v>9.24</v>
      </c>
      <c r="C15" s="159">
        <v>4009.4160000000002</v>
      </c>
      <c r="D15" s="159">
        <v>983.81050000000005</v>
      </c>
      <c r="E15" s="159"/>
      <c r="H15" s="179"/>
    </row>
    <row r="16" spans="1:8" ht="13.8">
      <c r="A16" s="145">
        <v>44105</v>
      </c>
      <c r="B16" s="185">
        <v>9.6300000000000008</v>
      </c>
      <c r="C16" s="157">
        <v>4615.5920000000006</v>
      </c>
      <c r="D16" s="159">
        <v>1141.2355</v>
      </c>
      <c r="E16" s="159"/>
      <c r="H16" s="179"/>
    </row>
    <row r="17" spans="1:8" ht="13.8">
      <c r="A17" s="145">
        <v>44136</v>
      </c>
      <c r="B17" s="185">
        <v>10.3</v>
      </c>
      <c r="C17" s="157">
        <v>4516.2939999999999</v>
      </c>
      <c r="D17" s="159">
        <v>1103.396</v>
      </c>
      <c r="E17" s="159"/>
      <c r="H17" s="179"/>
    </row>
    <row r="18" spans="1:8" ht="13.8">
      <c r="A18" s="145">
        <v>44166</v>
      </c>
      <c r="B18" s="185">
        <v>10.5</v>
      </c>
      <c r="C18" s="157">
        <v>4568.97</v>
      </c>
      <c r="D18" s="159">
        <v>1115.8589999999999</v>
      </c>
      <c r="H18" s="179"/>
    </row>
    <row r="19" spans="1:8" ht="13.8">
      <c r="A19" s="186">
        <v>44197</v>
      </c>
      <c r="B19" s="103">
        <v>10.9</v>
      </c>
      <c r="C19" s="187">
        <v>4665.6540000000005</v>
      </c>
      <c r="D19" s="188">
        <v>1154.376</v>
      </c>
      <c r="H19" s="179"/>
    </row>
    <row r="20" spans="1:8" ht="13.8">
      <c r="A20" s="145"/>
      <c r="B20" s="157"/>
      <c r="C20" s="157"/>
      <c r="D20" s="159"/>
    </row>
    <row r="21" spans="1:8">
      <c r="A21" s="158"/>
      <c r="B21" s="157"/>
      <c r="C21" s="180"/>
    </row>
    <row r="22" spans="1:8" ht="13.8">
      <c r="A22" s="190"/>
      <c r="B22" s="157"/>
      <c r="C22" s="157"/>
      <c r="E22" s="55"/>
    </row>
    <row r="23" spans="1:8" ht="13.8">
      <c r="A23" s="190"/>
      <c r="B23" s="157"/>
      <c r="C23" s="157"/>
      <c r="E23" s="55"/>
    </row>
    <row r="24" spans="1:8" ht="13.8">
      <c r="A24" s="190"/>
      <c r="B24" s="157"/>
      <c r="C24" s="157"/>
      <c r="E24" s="55"/>
    </row>
    <row r="25" spans="1:8" ht="13.8">
      <c r="A25" s="190"/>
      <c r="B25" s="157"/>
      <c r="C25" s="157"/>
      <c r="E25" s="55"/>
    </row>
    <row r="26" spans="1:8" ht="13.8">
      <c r="A26" s="190"/>
      <c r="B26" s="157"/>
      <c r="C26" s="157"/>
      <c r="E26" s="55"/>
    </row>
    <row r="27" spans="1:8" ht="13.8">
      <c r="A27" s="190"/>
      <c r="B27" s="157"/>
      <c r="C27" s="157"/>
      <c r="E27" s="55"/>
    </row>
    <row r="28" spans="1:8" ht="13.8">
      <c r="A28" s="190"/>
      <c r="B28" s="157"/>
      <c r="C28" s="157"/>
      <c r="E28" s="55"/>
    </row>
    <row r="29" spans="1:8" ht="13.8">
      <c r="A29" s="190"/>
      <c r="B29" s="157"/>
      <c r="C29" s="157"/>
      <c r="E29" s="55"/>
    </row>
    <row r="30" spans="1:8" ht="13.8">
      <c r="A30" s="190"/>
      <c r="B30" s="157"/>
      <c r="C30" s="157"/>
      <c r="E30" s="55"/>
    </row>
    <row r="31" spans="1:8" ht="13.8">
      <c r="A31" s="190"/>
      <c r="B31" s="157"/>
      <c r="C31" s="157"/>
      <c r="E31" s="55"/>
    </row>
    <row r="32" spans="1:8" ht="13.8">
      <c r="A32" s="190"/>
      <c r="B32" s="157"/>
      <c r="C32" s="157"/>
      <c r="E32" s="55"/>
    </row>
    <row r="33" spans="1:5" ht="13.8">
      <c r="A33" s="190"/>
      <c r="B33" s="157"/>
      <c r="C33" s="157"/>
      <c r="E33" s="55"/>
    </row>
    <row r="34" spans="1:5" ht="13.8">
      <c r="A34" s="190"/>
      <c r="B34" s="157"/>
      <c r="C34" s="55"/>
      <c r="D34" s="146"/>
      <c r="E34" s="55"/>
    </row>
    <row r="35" spans="1:5" ht="13.8">
      <c r="A35" s="190"/>
      <c r="B35" s="157"/>
      <c r="C35" s="55"/>
      <c r="D35" s="146"/>
      <c r="E35" s="55"/>
    </row>
    <row r="36" spans="1:5" ht="13.8">
      <c r="A36" s="190"/>
      <c r="B36" s="157"/>
      <c r="C36" s="55"/>
      <c r="D36" s="146"/>
      <c r="E36" s="55"/>
    </row>
    <row r="37" spans="1:5" ht="13.8">
      <c r="A37" s="190"/>
      <c r="B37" s="157"/>
      <c r="C37" s="55"/>
      <c r="D37" s="146"/>
      <c r="E37" s="55"/>
    </row>
    <row r="38" spans="1:5">
      <c r="A38" s="156"/>
      <c r="B38" s="156"/>
      <c r="C38" s="146"/>
      <c r="D38" s="146"/>
      <c r="E38" s="146"/>
    </row>
    <row r="39" spans="1:5">
      <c r="A39" s="156"/>
      <c r="B39" s="156"/>
      <c r="C39" s="146"/>
      <c r="D39" s="146"/>
      <c r="E39" s="146"/>
    </row>
    <row r="40" spans="1:5">
      <c r="A40" s="156"/>
      <c r="B40" s="156"/>
      <c r="C40" s="146"/>
      <c r="D40" s="146"/>
      <c r="E40" s="146"/>
    </row>
    <row r="41" spans="1:5">
      <c r="A41" s="156"/>
      <c r="B41" s="156"/>
      <c r="C41" s="146"/>
      <c r="D41" s="146"/>
      <c r="E41" s="146"/>
    </row>
    <row r="42" spans="1:5">
      <c r="A42" s="156"/>
      <c r="B42" s="156"/>
      <c r="C42" s="146"/>
      <c r="D42" s="146"/>
      <c r="E42" s="146"/>
    </row>
    <row r="43" spans="1:5">
      <c r="A43" s="156"/>
      <c r="B43" s="156"/>
      <c r="C43" s="146"/>
      <c r="D43" s="146"/>
      <c r="E43" s="146"/>
    </row>
    <row r="44" spans="1:5">
      <c r="A44" s="156"/>
      <c r="B44" s="156"/>
      <c r="C44" s="146"/>
      <c r="D44" s="146"/>
      <c r="E44" s="146"/>
    </row>
    <row r="45" spans="1:5">
      <c r="A45" s="156"/>
      <c r="B45" s="156"/>
      <c r="C45" s="146"/>
      <c r="D45" s="146"/>
      <c r="E45" s="146"/>
    </row>
    <row r="46" spans="1:5">
      <c r="A46" s="156"/>
      <c r="B46" s="156"/>
      <c r="C46" s="146"/>
      <c r="E46" s="146"/>
    </row>
    <row r="47" spans="1:5">
      <c r="A47" s="156"/>
      <c r="B47" s="156"/>
      <c r="C47" s="146"/>
      <c r="E47" s="146"/>
    </row>
    <row r="48" spans="1:5">
      <c r="A48" s="156"/>
      <c r="C48" s="146"/>
    </row>
    <row r="49" spans="1:3">
      <c r="A49" s="156"/>
      <c r="C49" s="146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D6E61-B5E5-4D14-8EF9-5F8FC39643DB}">
  <dimension ref="A1:P229"/>
  <sheetViews>
    <sheetView topLeftCell="A2" zoomScale="110" zoomScaleNormal="110" workbookViewId="0">
      <selection activeCell="B30" sqref="B30"/>
    </sheetView>
  </sheetViews>
  <sheetFormatPr defaultRowHeight="13.2"/>
  <cols>
    <col min="1" max="1" width="29" style="160" bestFit="1" customWidth="1"/>
    <col min="2" max="2" width="8.6640625" style="160" customWidth="1"/>
    <col min="3" max="3" width="15.6640625" style="160" bestFit="1" customWidth="1"/>
    <col min="4" max="4" width="8.6640625" style="160" customWidth="1"/>
    <col min="5" max="10" width="10.5546875" style="160" customWidth="1"/>
    <col min="11" max="16384" width="8.88671875" style="160"/>
  </cols>
  <sheetData>
    <row r="1" spans="1:16" ht="13.8">
      <c r="A1" s="165" t="s">
        <v>175</v>
      </c>
      <c r="C1" s="130"/>
      <c r="D1" s="130"/>
      <c r="E1" s="144"/>
      <c r="G1" s="170"/>
    </row>
    <row r="2" spans="1:16">
      <c r="A2" s="160" t="s">
        <v>226</v>
      </c>
      <c r="B2" s="160" t="s">
        <v>174</v>
      </c>
      <c r="C2" s="130" t="s">
        <v>173</v>
      </c>
      <c r="D2" s="130"/>
      <c r="E2" s="144"/>
      <c r="G2" s="170"/>
    </row>
    <row r="3" spans="1:16">
      <c r="C3" s="118"/>
      <c r="D3" s="118"/>
      <c r="E3" s="144"/>
      <c r="G3" s="170"/>
    </row>
    <row r="4" spans="1:16">
      <c r="A4" s="166">
        <v>43831</v>
      </c>
      <c r="B4" s="168">
        <v>677</v>
      </c>
      <c r="C4" s="118">
        <v>2018</v>
      </c>
      <c r="D4" s="118"/>
      <c r="E4" s="144"/>
    </row>
    <row r="5" spans="1:16">
      <c r="A5" s="166">
        <v>43862</v>
      </c>
      <c r="B5" s="168">
        <v>761</v>
      </c>
      <c r="C5" s="118">
        <v>1318</v>
      </c>
      <c r="D5" s="118"/>
    </row>
    <row r="6" spans="1:16">
      <c r="A6" s="166">
        <v>43891</v>
      </c>
      <c r="B6" s="168">
        <v>586</v>
      </c>
      <c r="C6" s="118">
        <v>1218</v>
      </c>
      <c r="D6" s="118"/>
      <c r="P6" s="181"/>
    </row>
    <row r="7" spans="1:16">
      <c r="A7" s="166">
        <v>43922</v>
      </c>
      <c r="B7" s="168">
        <v>562</v>
      </c>
      <c r="C7" s="118">
        <v>2074</v>
      </c>
      <c r="D7" s="118"/>
      <c r="P7" s="169"/>
    </row>
    <row r="8" spans="1:16">
      <c r="A8" s="166">
        <v>43952</v>
      </c>
      <c r="B8" s="168">
        <v>529</v>
      </c>
      <c r="C8" s="118">
        <v>1974</v>
      </c>
      <c r="D8" s="118"/>
      <c r="P8" s="169"/>
    </row>
    <row r="9" spans="1:16">
      <c r="A9" s="166">
        <v>43983</v>
      </c>
      <c r="B9" s="168">
        <v>604</v>
      </c>
      <c r="C9" s="118">
        <v>1974</v>
      </c>
      <c r="D9" s="118"/>
      <c r="P9" s="169"/>
    </row>
    <row r="10" spans="1:16">
      <c r="A10" s="166">
        <v>44013</v>
      </c>
      <c r="B10" s="168">
        <v>646</v>
      </c>
      <c r="C10" s="118">
        <v>1974</v>
      </c>
      <c r="D10" s="118"/>
      <c r="P10" s="169"/>
    </row>
    <row r="11" spans="1:16">
      <c r="A11" s="166">
        <v>44044</v>
      </c>
      <c r="B11" s="168">
        <v>710</v>
      </c>
      <c r="C11" s="118">
        <v>2224</v>
      </c>
      <c r="P11" s="169"/>
    </row>
    <row r="12" spans="1:16">
      <c r="A12" s="166">
        <v>44075</v>
      </c>
      <c r="B12" s="168">
        <v>746</v>
      </c>
      <c r="C12" s="118">
        <v>2104</v>
      </c>
      <c r="P12" s="169"/>
    </row>
    <row r="13" spans="1:16">
      <c r="A13" s="166">
        <v>44105</v>
      </c>
      <c r="B13" s="168">
        <v>771</v>
      </c>
      <c r="C13" s="118">
        <v>2104</v>
      </c>
      <c r="P13" s="169"/>
    </row>
    <row r="14" spans="1:16">
      <c r="A14" s="166">
        <v>44136</v>
      </c>
      <c r="B14" s="168">
        <v>867</v>
      </c>
      <c r="C14" s="118">
        <v>1650</v>
      </c>
      <c r="P14" s="169"/>
    </row>
    <row r="15" spans="1:16">
      <c r="A15" s="166">
        <v>44166</v>
      </c>
      <c r="B15" s="168">
        <v>935</v>
      </c>
      <c r="C15" s="118">
        <v>1650</v>
      </c>
      <c r="P15" s="167"/>
    </row>
    <row r="16" spans="1:16">
      <c r="A16" s="166">
        <v>44197</v>
      </c>
      <c r="B16" s="168">
        <v>990</v>
      </c>
      <c r="C16" s="177">
        <v>1660</v>
      </c>
      <c r="P16" s="167"/>
    </row>
    <row r="17" spans="1:3">
      <c r="A17" s="166"/>
      <c r="B17" s="142"/>
      <c r="C17" s="118"/>
    </row>
    <row r="18" spans="1:3">
      <c r="A18" s="166"/>
      <c r="B18" s="142"/>
      <c r="C18" s="142"/>
    </row>
    <row r="19" spans="1:3">
      <c r="A19" s="166"/>
      <c r="B19" s="142"/>
      <c r="C19" s="142"/>
    </row>
    <row r="20" spans="1:3">
      <c r="A20" s="166"/>
      <c r="B20" s="142"/>
      <c r="C20" s="142"/>
    </row>
    <row r="21" spans="1:3">
      <c r="A21" s="166"/>
      <c r="B21" s="142"/>
      <c r="C21" s="142"/>
    </row>
    <row r="22" spans="1:3" ht="13.8">
      <c r="A22" s="165"/>
      <c r="B22" s="142"/>
      <c r="C22" s="142"/>
    </row>
    <row r="23" spans="1:3" ht="13.8">
      <c r="A23" s="165"/>
      <c r="B23" s="142"/>
      <c r="C23" s="142"/>
    </row>
    <row r="24" spans="1:3" ht="13.8">
      <c r="A24" s="165"/>
      <c r="B24" s="142"/>
      <c r="C24" s="142"/>
    </row>
    <row r="25" spans="1:3" ht="13.8">
      <c r="A25" s="165"/>
      <c r="B25" s="142"/>
      <c r="C25" s="142"/>
    </row>
    <row r="26" spans="1:3" ht="13.8">
      <c r="A26" s="165"/>
      <c r="B26" s="142"/>
      <c r="C26" s="142"/>
    </row>
    <row r="27" spans="1:3" ht="13.8">
      <c r="A27" s="165"/>
      <c r="B27" s="142"/>
      <c r="C27" s="142"/>
    </row>
    <row r="28" spans="1:3" ht="13.8">
      <c r="A28" s="165"/>
      <c r="B28" s="142"/>
      <c r="C28" s="142"/>
    </row>
    <row r="29" spans="1:3" ht="13.8">
      <c r="A29" s="165"/>
      <c r="B29" s="142"/>
      <c r="C29" s="142"/>
    </row>
    <row r="30" spans="1:3" ht="13.8">
      <c r="A30" s="165"/>
      <c r="B30" s="142"/>
      <c r="C30" s="142"/>
    </row>
    <row r="31" spans="1:3" ht="13.8">
      <c r="A31" s="165"/>
      <c r="B31" s="142"/>
      <c r="C31" s="142"/>
    </row>
    <row r="32" spans="1:3" ht="13.8">
      <c r="A32" s="165"/>
      <c r="B32" s="142"/>
      <c r="C32" s="142"/>
    </row>
    <row r="33" spans="1:3" ht="13.8">
      <c r="A33" s="165"/>
      <c r="B33" s="142"/>
      <c r="C33" s="142"/>
    </row>
    <row r="34" spans="1:3" ht="13.8">
      <c r="A34" s="165"/>
      <c r="B34" s="142"/>
      <c r="C34" s="142"/>
    </row>
    <row r="35" spans="1:3" ht="13.8">
      <c r="A35" s="165"/>
      <c r="B35" s="142"/>
      <c r="C35" s="142"/>
    </row>
    <row r="36" spans="1:3" ht="13.8">
      <c r="A36" s="165"/>
      <c r="B36" s="142"/>
      <c r="C36" s="142"/>
    </row>
    <row r="37" spans="1:3" ht="13.8">
      <c r="A37" s="165"/>
      <c r="B37" s="142"/>
      <c r="C37" s="142"/>
    </row>
    <row r="38" spans="1:3" ht="13.8">
      <c r="A38" s="165"/>
      <c r="B38" s="142"/>
      <c r="C38" s="142"/>
    </row>
    <row r="39" spans="1:3" ht="13.8">
      <c r="A39" s="165"/>
      <c r="B39" s="142"/>
      <c r="C39" s="142"/>
    </row>
    <row r="40" spans="1:3" ht="13.8">
      <c r="A40" s="165"/>
      <c r="B40" s="142"/>
      <c r="C40" s="142"/>
    </row>
    <row r="41" spans="1:3" ht="13.8">
      <c r="A41" s="165"/>
      <c r="B41" s="142"/>
      <c r="C41" s="142"/>
    </row>
    <row r="42" spans="1:3" ht="13.8">
      <c r="A42" s="165"/>
      <c r="B42" s="142"/>
      <c r="C42" s="142"/>
    </row>
    <row r="43" spans="1:3" ht="13.8">
      <c r="A43" s="165"/>
      <c r="B43" s="142"/>
      <c r="C43" s="142"/>
    </row>
    <row r="44" spans="1:3" ht="13.8">
      <c r="A44" s="165"/>
      <c r="B44" s="142"/>
      <c r="C44" s="142"/>
    </row>
    <row r="45" spans="1:3" ht="13.8">
      <c r="A45" s="165"/>
      <c r="B45" s="142"/>
      <c r="C45" s="142"/>
    </row>
    <row r="46" spans="1:3" ht="13.8">
      <c r="A46" s="165"/>
      <c r="B46" s="142"/>
      <c r="C46" s="142"/>
    </row>
    <row r="47" spans="1:3" ht="13.8">
      <c r="A47" s="165"/>
      <c r="B47" s="142"/>
      <c r="C47" s="142"/>
    </row>
    <row r="48" spans="1:3" ht="13.8">
      <c r="A48" s="165"/>
      <c r="B48" s="142"/>
      <c r="C48" s="142"/>
    </row>
    <row r="49" spans="1:3" ht="13.8">
      <c r="A49" s="165"/>
      <c r="B49" s="142"/>
      <c r="C49" s="142"/>
    </row>
    <row r="50" spans="1:3" ht="13.8">
      <c r="A50" s="165"/>
      <c r="B50" s="142"/>
      <c r="C50" s="142"/>
    </row>
    <row r="51" spans="1:3" ht="13.8">
      <c r="A51" s="165"/>
      <c r="B51" s="142"/>
      <c r="C51" s="142"/>
    </row>
    <row r="52" spans="1:3" ht="13.8">
      <c r="A52" s="165"/>
      <c r="B52" s="142"/>
      <c r="C52" s="142"/>
    </row>
    <row r="53" spans="1:3" ht="13.8">
      <c r="A53" s="165"/>
      <c r="B53" s="142"/>
      <c r="C53" s="142"/>
    </row>
    <row r="54" spans="1:3" ht="13.8">
      <c r="A54" s="165"/>
      <c r="B54" s="142"/>
      <c r="C54" s="142"/>
    </row>
    <row r="55" spans="1:3" ht="13.8">
      <c r="A55" s="165"/>
      <c r="B55" s="142"/>
      <c r="C55" s="142"/>
    </row>
    <row r="56" spans="1:3" ht="13.8">
      <c r="A56" s="165"/>
      <c r="B56" s="142"/>
      <c r="C56" s="142"/>
    </row>
    <row r="57" spans="1:3" ht="13.8">
      <c r="A57" s="165"/>
      <c r="B57" s="142"/>
      <c r="C57" s="142"/>
    </row>
    <row r="58" spans="1:3" ht="13.8">
      <c r="A58" s="165"/>
      <c r="B58" s="142"/>
      <c r="C58" s="142"/>
    </row>
    <row r="59" spans="1:3" ht="13.8">
      <c r="A59" s="165"/>
      <c r="B59" s="142"/>
      <c r="C59" s="142"/>
    </row>
    <row r="60" spans="1:3" ht="13.8">
      <c r="A60" s="165"/>
      <c r="B60" s="142"/>
      <c r="C60" s="142"/>
    </row>
    <row r="61" spans="1:3" ht="13.8">
      <c r="A61" s="165"/>
      <c r="B61" s="142"/>
      <c r="C61" s="142"/>
    </row>
    <row r="62" spans="1:3" ht="13.8">
      <c r="A62" s="165"/>
      <c r="B62" s="142"/>
      <c r="C62" s="142"/>
    </row>
    <row r="63" spans="1:3" ht="13.8">
      <c r="A63" s="165"/>
      <c r="B63" s="142"/>
      <c r="C63" s="142"/>
    </row>
    <row r="64" spans="1:3" ht="13.8">
      <c r="A64" s="165"/>
      <c r="B64" s="142"/>
      <c r="C64" s="142"/>
    </row>
    <row r="65" spans="1:3" ht="13.8">
      <c r="A65" s="165"/>
      <c r="B65" s="142"/>
      <c r="C65" s="142"/>
    </row>
    <row r="66" spans="1:3" ht="13.8">
      <c r="A66" s="165"/>
      <c r="B66" s="142"/>
      <c r="C66" s="142"/>
    </row>
    <row r="67" spans="1:3" ht="13.8">
      <c r="A67" s="165"/>
      <c r="B67" s="142"/>
      <c r="C67" s="142"/>
    </row>
    <row r="68" spans="1:3" ht="13.8">
      <c r="A68" s="165"/>
      <c r="B68" s="142"/>
      <c r="C68" s="142"/>
    </row>
    <row r="69" spans="1:3" ht="13.8">
      <c r="A69" s="165"/>
      <c r="B69" s="142"/>
      <c r="C69" s="142"/>
    </row>
    <row r="70" spans="1:3" ht="13.8">
      <c r="A70" s="165"/>
      <c r="B70" s="142"/>
      <c r="C70" s="142"/>
    </row>
    <row r="71" spans="1:3" ht="13.8">
      <c r="A71" s="165"/>
      <c r="B71" s="142"/>
      <c r="C71" s="142"/>
    </row>
    <row r="72" spans="1:3" ht="13.8">
      <c r="A72" s="165"/>
      <c r="B72" s="142"/>
      <c r="C72" s="142"/>
    </row>
    <row r="73" spans="1:3" ht="13.8">
      <c r="A73" s="165"/>
      <c r="B73" s="142"/>
      <c r="C73" s="142"/>
    </row>
    <row r="74" spans="1:3" ht="13.8">
      <c r="A74" s="165"/>
      <c r="B74" s="142"/>
      <c r="C74" s="142"/>
    </row>
    <row r="75" spans="1:3" ht="13.8">
      <c r="A75" s="165"/>
      <c r="B75" s="142"/>
      <c r="C75" s="142"/>
    </row>
    <row r="76" spans="1:3" ht="13.8">
      <c r="A76" s="165"/>
      <c r="B76" s="142"/>
      <c r="C76" s="142"/>
    </row>
    <row r="77" spans="1:3" ht="13.8">
      <c r="A77" s="165"/>
      <c r="B77" s="142"/>
      <c r="C77" s="142"/>
    </row>
    <row r="78" spans="1:3" ht="13.8">
      <c r="A78" s="165"/>
      <c r="B78" s="142"/>
      <c r="C78" s="142"/>
    </row>
    <row r="79" spans="1:3" ht="13.8">
      <c r="A79" s="165"/>
      <c r="B79" s="142"/>
      <c r="C79" s="142"/>
    </row>
    <row r="80" spans="1:3" ht="13.8">
      <c r="A80" s="165"/>
      <c r="B80" s="142"/>
      <c r="C80" s="142"/>
    </row>
    <row r="81" spans="1:3" ht="13.8">
      <c r="A81" s="165"/>
      <c r="B81" s="142"/>
      <c r="C81" s="142"/>
    </row>
    <row r="82" spans="1:3" ht="13.8">
      <c r="A82" s="165"/>
      <c r="B82" s="142"/>
      <c r="C82" s="142"/>
    </row>
    <row r="83" spans="1:3" ht="13.8">
      <c r="A83" s="165"/>
      <c r="B83" s="142"/>
      <c r="C83" s="142"/>
    </row>
    <row r="84" spans="1:3" ht="13.8">
      <c r="A84" s="165"/>
      <c r="B84" s="142"/>
      <c r="C84" s="142"/>
    </row>
    <row r="85" spans="1:3" ht="13.8">
      <c r="A85" s="165"/>
      <c r="B85" s="142"/>
      <c r="C85" s="142"/>
    </row>
    <row r="86" spans="1:3" ht="13.8">
      <c r="A86" s="165"/>
      <c r="B86" s="142"/>
      <c r="C86" s="142"/>
    </row>
    <row r="87" spans="1:3" ht="13.8">
      <c r="A87" s="165"/>
      <c r="B87" s="142"/>
      <c r="C87" s="142"/>
    </row>
    <row r="88" spans="1:3" ht="13.8">
      <c r="A88" s="165"/>
      <c r="B88" s="142"/>
      <c r="C88" s="142"/>
    </row>
    <row r="89" spans="1:3" ht="13.8">
      <c r="A89" s="165"/>
      <c r="B89" s="142"/>
      <c r="C89" s="142"/>
    </row>
    <row r="90" spans="1:3" ht="13.8">
      <c r="A90" s="165"/>
      <c r="B90" s="142"/>
      <c r="C90" s="142"/>
    </row>
    <row r="91" spans="1:3" ht="13.8">
      <c r="A91" s="165"/>
      <c r="B91" s="142"/>
      <c r="C91" s="142"/>
    </row>
    <row r="92" spans="1:3" ht="13.8">
      <c r="A92" s="165"/>
      <c r="B92" s="142"/>
      <c r="C92" s="142"/>
    </row>
    <row r="93" spans="1:3" ht="13.8">
      <c r="A93" s="165"/>
      <c r="B93" s="142"/>
      <c r="C93" s="142"/>
    </row>
    <row r="94" spans="1:3" ht="13.8">
      <c r="A94" s="165"/>
      <c r="B94" s="142"/>
      <c r="C94" s="142"/>
    </row>
    <row r="95" spans="1:3" ht="13.8">
      <c r="A95" s="165"/>
      <c r="B95" s="142"/>
      <c r="C95" s="142"/>
    </row>
    <row r="96" spans="1:3" ht="13.8">
      <c r="A96" s="165"/>
      <c r="B96" s="142"/>
      <c r="C96" s="142"/>
    </row>
    <row r="97" spans="1:3" ht="13.8">
      <c r="A97" s="165"/>
      <c r="B97" s="142"/>
      <c r="C97" s="142"/>
    </row>
    <row r="98" spans="1:3" ht="13.8">
      <c r="A98" s="165"/>
      <c r="B98" s="142"/>
      <c r="C98" s="142"/>
    </row>
    <row r="99" spans="1:3" ht="13.8">
      <c r="A99" s="165"/>
      <c r="B99" s="142"/>
      <c r="C99" s="142"/>
    </row>
    <row r="100" spans="1:3" ht="13.8">
      <c r="A100" s="165"/>
      <c r="B100" s="142"/>
      <c r="C100" s="142"/>
    </row>
    <row r="101" spans="1:3" ht="13.8">
      <c r="A101" s="165"/>
      <c r="B101" s="142"/>
      <c r="C101" s="142"/>
    </row>
    <row r="102" spans="1:3" ht="13.8">
      <c r="A102" s="165"/>
      <c r="B102" s="142"/>
      <c r="C102" s="142"/>
    </row>
    <row r="103" spans="1:3" ht="13.8">
      <c r="A103" s="165"/>
      <c r="B103" s="142"/>
      <c r="C103" s="142"/>
    </row>
    <row r="104" spans="1:3" ht="13.8">
      <c r="A104" s="165"/>
      <c r="B104" s="142"/>
      <c r="C104" s="142"/>
    </row>
    <row r="105" spans="1:3" ht="13.8">
      <c r="A105" s="165"/>
      <c r="B105" s="142"/>
      <c r="C105" s="142"/>
    </row>
    <row r="106" spans="1:3" ht="13.8">
      <c r="A106" s="165"/>
      <c r="B106" s="142"/>
      <c r="C106" s="142"/>
    </row>
    <row r="107" spans="1:3" ht="13.8">
      <c r="A107" s="165"/>
      <c r="B107" s="142"/>
      <c r="C107" s="142"/>
    </row>
    <row r="108" spans="1:3" ht="13.8">
      <c r="A108" s="165"/>
      <c r="B108" s="142"/>
      <c r="C108" s="142"/>
    </row>
    <row r="109" spans="1:3" ht="13.8">
      <c r="A109" s="165"/>
      <c r="B109" s="142"/>
      <c r="C109" s="142"/>
    </row>
    <row r="110" spans="1:3">
      <c r="A110" s="164"/>
      <c r="B110" s="142"/>
      <c r="C110" s="142"/>
    </row>
    <row r="111" spans="1:3">
      <c r="A111" s="164"/>
      <c r="B111" s="142"/>
      <c r="C111" s="142"/>
    </row>
    <row r="112" spans="1:3">
      <c r="A112" s="164"/>
      <c r="B112" s="142"/>
      <c r="C112" s="142"/>
    </row>
    <row r="113" spans="1:3">
      <c r="A113" s="164"/>
      <c r="B113" s="142"/>
      <c r="C113" s="142"/>
    </row>
    <row r="114" spans="1:3">
      <c r="A114" s="164"/>
      <c r="B114" s="142"/>
      <c r="C114" s="142"/>
    </row>
    <row r="115" spans="1:3">
      <c r="A115" s="164"/>
      <c r="B115" s="142"/>
      <c r="C115" s="142"/>
    </row>
    <row r="116" spans="1:3">
      <c r="A116" s="164"/>
      <c r="B116" s="142"/>
      <c r="C116" s="142"/>
    </row>
    <row r="117" spans="1:3">
      <c r="A117" s="164"/>
      <c r="B117" s="142"/>
      <c r="C117" s="142"/>
    </row>
    <row r="118" spans="1:3">
      <c r="A118" s="164"/>
      <c r="B118" s="142"/>
      <c r="C118" s="142"/>
    </row>
    <row r="119" spans="1:3">
      <c r="A119" s="164"/>
      <c r="B119" s="142"/>
      <c r="C119" s="142"/>
    </row>
    <row r="120" spans="1:3">
      <c r="A120" s="164"/>
      <c r="B120" s="142"/>
      <c r="C120" s="142"/>
    </row>
    <row r="121" spans="1:3">
      <c r="A121" s="164"/>
      <c r="B121" s="142"/>
      <c r="C121" s="142"/>
    </row>
    <row r="122" spans="1:3">
      <c r="A122" s="164"/>
      <c r="B122" s="142"/>
      <c r="C122" s="142"/>
    </row>
    <row r="123" spans="1:3">
      <c r="A123" s="164"/>
      <c r="B123" s="142"/>
      <c r="C123" s="142"/>
    </row>
    <row r="124" spans="1:3">
      <c r="A124" s="164"/>
      <c r="B124" s="142"/>
      <c r="C124" s="142"/>
    </row>
    <row r="125" spans="1:3">
      <c r="A125" s="164"/>
      <c r="B125" s="142"/>
      <c r="C125" s="142"/>
    </row>
    <row r="126" spans="1:3">
      <c r="A126" s="164"/>
      <c r="B126" s="142"/>
      <c r="C126" s="142"/>
    </row>
    <row r="127" spans="1:3">
      <c r="A127" s="164"/>
      <c r="B127" s="142"/>
      <c r="C127" s="142"/>
    </row>
    <row r="128" spans="1:3">
      <c r="A128" s="164"/>
      <c r="B128" s="142"/>
      <c r="C128" s="142"/>
    </row>
    <row r="129" spans="1:3">
      <c r="A129" s="164"/>
      <c r="B129" s="142"/>
      <c r="C129" s="142"/>
    </row>
    <row r="130" spans="1:3">
      <c r="A130" s="164"/>
      <c r="B130" s="142"/>
      <c r="C130" s="142"/>
    </row>
    <row r="131" spans="1:3">
      <c r="A131" s="164"/>
      <c r="B131" s="142"/>
      <c r="C131" s="142"/>
    </row>
    <row r="132" spans="1:3">
      <c r="A132" s="164"/>
      <c r="B132" s="142"/>
      <c r="C132" s="142"/>
    </row>
    <row r="133" spans="1:3">
      <c r="A133" s="164"/>
      <c r="B133" s="142"/>
      <c r="C133" s="142"/>
    </row>
    <row r="134" spans="1:3">
      <c r="A134" s="164"/>
      <c r="B134" s="142"/>
      <c r="C134" s="142"/>
    </row>
    <row r="135" spans="1:3">
      <c r="A135" s="164"/>
      <c r="B135" s="142"/>
      <c r="C135" s="142"/>
    </row>
    <row r="136" spans="1:3">
      <c r="A136" s="164"/>
      <c r="B136" s="142"/>
      <c r="C136" s="142"/>
    </row>
    <row r="137" spans="1:3">
      <c r="A137" s="164"/>
      <c r="B137" s="142"/>
      <c r="C137" s="142"/>
    </row>
    <row r="138" spans="1:3">
      <c r="A138" s="164"/>
      <c r="B138" s="142"/>
      <c r="C138" s="142"/>
    </row>
    <row r="139" spans="1:3">
      <c r="A139" s="164"/>
      <c r="B139" s="142"/>
      <c r="C139" s="142"/>
    </row>
    <row r="140" spans="1:3">
      <c r="A140" s="164"/>
      <c r="B140" s="142"/>
      <c r="C140" s="142"/>
    </row>
    <row r="141" spans="1:3">
      <c r="A141" s="164"/>
      <c r="B141" s="142"/>
      <c r="C141" s="142"/>
    </row>
    <row r="142" spans="1:3">
      <c r="A142" s="164"/>
      <c r="B142" s="142"/>
      <c r="C142" s="142"/>
    </row>
    <row r="143" spans="1:3">
      <c r="A143" s="164"/>
      <c r="B143" s="142"/>
      <c r="C143" s="142"/>
    </row>
    <row r="144" spans="1:3">
      <c r="A144" s="164"/>
      <c r="B144" s="142"/>
      <c r="C144" s="142"/>
    </row>
    <row r="145" spans="1:3">
      <c r="A145" s="164"/>
      <c r="B145" s="142"/>
      <c r="C145" s="142"/>
    </row>
    <row r="146" spans="1:3">
      <c r="A146" s="164"/>
      <c r="B146" s="142"/>
      <c r="C146" s="142"/>
    </row>
    <row r="147" spans="1:3">
      <c r="A147" s="164"/>
      <c r="B147" s="142"/>
      <c r="C147" s="142"/>
    </row>
    <row r="148" spans="1:3">
      <c r="A148" s="164"/>
      <c r="B148" s="142"/>
      <c r="C148" s="142"/>
    </row>
    <row r="149" spans="1:3">
      <c r="A149" s="164"/>
      <c r="B149" s="142"/>
      <c r="C149" s="142"/>
    </row>
    <row r="150" spans="1:3">
      <c r="A150" s="164"/>
      <c r="B150" s="142"/>
      <c r="C150" s="142"/>
    </row>
    <row r="151" spans="1:3">
      <c r="A151" s="164"/>
      <c r="B151" s="142"/>
      <c r="C151" s="142"/>
    </row>
    <row r="152" spans="1:3">
      <c r="A152" s="164"/>
      <c r="B152" s="142"/>
      <c r="C152" s="142"/>
    </row>
    <row r="153" spans="1:3">
      <c r="A153" s="164"/>
      <c r="B153" s="142"/>
      <c r="C153" s="142"/>
    </row>
    <row r="154" spans="1:3">
      <c r="A154" s="164"/>
      <c r="B154" s="142"/>
      <c r="C154" s="142"/>
    </row>
    <row r="155" spans="1:3">
      <c r="A155" s="164"/>
      <c r="B155" s="142"/>
      <c r="C155" s="142"/>
    </row>
    <row r="156" spans="1:3">
      <c r="A156" s="164"/>
      <c r="B156" s="142"/>
      <c r="C156" s="142"/>
    </row>
    <row r="157" spans="1:3">
      <c r="A157" s="164"/>
      <c r="B157" s="142"/>
      <c r="C157" s="142"/>
    </row>
    <row r="158" spans="1:3">
      <c r="A158" s="164"/>
      <c r="B158" s="142"/>
      <c r="C158" s="142"/>
    </row>
    <row r="159" spans="1:3">
      <c r="A159" s="164"/>
      <c r="B159" s="142"/>
      <c r="C159" s="142"/>
    </row>
    <row r="160" spans="1:3">
      <c r="A160" s="164"/>
      <c r="B160" s="142"/>
      <c r="C160" s="142"/>
    </row>
    <row r="161" spans="1:3">
      <c r="A161" s="164"/>
      <c r="B161" s="142"/>
      <c r="C161" s="142"/>
    </row>
    <row r="162" spans="1:3">
      <c r="A162" s="164"/>
      <c r="B162" s="142"/>
      <c r="C162" s="142"/>
    </row>
    <row r="163" spans="1:3">
      <c r="A163" s="164"/>
      <c r="B163" s="142"/>
      <c r="C163" s="142"/>
    </row>
    <row r="164" spans="1:3">
      <c r="A164" s="164"/>
      <c r="B164" s="142"/>
      <c r="C164" s="142"/>
    </row>
    <row r="165" spans="1:3">
      <c r="A165" s="164"/>
      <c r="B165" s="142"/>
      <c r="C165" s="142"/>
    </row>
    <row r="166" spans="1:3">
      <c r="A166" s="164"/>
      <c r="B166" s="142"/>
      <c r="C166" s="142"/>
    </row>
    <row r="167" spans="1:3">
      <c r="A167" s="164"/>
      <c r="B167" s="142"/>
      <c r="C167" s="142"/>
    </row>
    <row r="168" spans="1:3">
      <c r="A168" s="164"/>
      <c r="B168" s="142"/>
      <c r="C168" s="142"/>
    </row>
    <row r="169" spans="1:3">
      <c r="A169" s="164"/>
      <c r="B169" s="142"/>
      <c r="C169" s="142"/>
    </row>
    <row r="170" spans="1:3">
      <c r="A170" s="164"/>
      <c r="B170" s="142"/>
      <c r="C170" s="142"/>
    </row>
    <row r="171" spans="1:3">
      <c r="A171" s="164"/>
      <c r="B171" s="142"/>
      <c r="C171" s="142"/>
    </row>
    <row r="172" spans="1:3">
      <c r="A172" s="164"/>
      <c r="B172" s="142"/>
      <c r="C172" s="142"/>
    </row>
    <row r="173" spans="1:3">
      <c r="A173" s="164"/>
      <c r="B173" s="142"/>
      <c r="C173" s="142"/>
    </row>
    <row r="174" spans="1:3">
      <c r="A174" s="164"/>
      <c r="B174" s="142"/>
      <c r="C174" s="142"/>
    </row>
    <row r="175" spans="1:3">
      <c r="A175" s="164"/>
      <c r="B175" s="142"/>
      <c r="C175" s="142"/>
    </row>
    <row r="176" spans="1:3">
      <c r="A176" s="164"/>
      <c r="B176" s="142"/>
      <c r="C176" s="142"/>
    </row>
    <row r="177" spans="1:3">
      <c r="A177" s="164"/>
      <c r="B177" s="142"/>
      <c r="C177" s="142"/>
    </row>
    <row r="178" spans="1:3">
      <c r="A178" s="164"/>
      <c r="B178" s="142"/>
      <c r="C178" s="142"/>
    </row>
    <row r="179" spans="1:3">
      <c r="A179" s="164"/>
      <c r="B179" s="142"/>
      <c r="C179" s="142"/>
    </row>
    <row r="180" spans="1:3">
      <c r="A180" s="164"/>
      <c r="B180" s="142"/>
      <c r="C180" s="142"/>
    </row>
    <row r="181" spans="1:3">
      <c r="A181" s="164"/>
      <c r="B181" s="142"/>
      <c r="C181" s="142"/>
    </row>
    <row r="182" spans="1:3">
      <c r="A182" s="164"/>
      <c r="B182" s="142"/>
      <c r="C182" s="142"/>
    </row>
    <row r="183" spans="1:3">
      <c r="A183" s="164"/>
      <c r="B183" s="142"/>
      <c r="C183" s="142"/>
    </row>
    <row r="184" spans="1:3">
      <c r="A184" s="164"/>
      <c r="B184" s="142"/>
      <c r="C184" s="142"/>
    </row>
    <row r="185" spans="1:3">
      <c r="A185" s="164"/>
      <c r="B185" s="142"/>
      <c r="C185" s="142"/>
    </row>
    <row r="186" spans="1:3">
      <c r="A186" s="164"/>
      <c r="B186" s="142"/>
      <c r="C186" s="142"/>
    </row>
    <row r="187" spans="1:3">
      <c r="A187" s="164"/>
      <c r="B187" s="142"/>
      <c r="C187" s="142"/>
    </row>
    <row r="188" spans="1:3">
      <c r="A188" s="164"/>
      <c r="B188" s="142"/>
      <c r="C188" s="142"/>
    </row>
    <row r="189" spans="1:3">
      <c r="A189" s="164"/>
      <c r="B189" s="142"/>
      <c r="C189" s="142"/>
    </row>
    <row r="190" spans="1:3">
      <c r="A190" s="164"/>
      <c r="B190" s="142"/>
      <c r="C190" s="142"/>
    </row>
    <row r="191" spans="1:3">
      <c r="A191" s="164"/>
      <c r="B191" s="142"/>
      <c r="C191" s="142"/>
    </row>
    <row r="192" spans="1:3">
      <c r="A192" s="164"/>
      <c r="B192" s="142"/>
      <c r="C192" s="142"/>
    </row>
    <row r="193" spans="1:4">
      <c r="A193" s="164"/>
      <c r="B193" s="142"/>
      <c r="C193" s="142"/>
    </row>
    <row r="194" spans="1:4">
      <c r="A194" s="164"/>
      <c r="B194" s="142"/>
      <c r="C194" s="142"/>
    </row>
    <row r="195" spans="1:4">
      <c r="A195" s="164"/>
      <c r="B195" s="142"/>
      <c r="C195" s="142"/>
    </row>
    <row r="196" spans="1:4">
      <c r="A196" s="164"/>
      <c r="B196" s="142"/>
      <c r="C196" s="142"/>
    </row>
    <row r="197" spans="1:4">
      <c r="A197" s="164"/>
      <c r="B197" s="142"/>
      <c r="C197" s="142"/>
    </row>
    <row r="198" spans="1:4">
      <c r="A198" s="164"/>
      <c r="B198" s="142"/>
      <c r="C198" s="142"/>
    </row>
    <row r="199" spans="1:4">
      <c r="A199" s="164"/>
      <c r="B199" s="142"/>
      <c r="C199" s="142"/>
    </row>
    <row r="200" spans="1:4">
      <c r="A200" s="164"/>
      <c r="B200" s="142"/>
      <c r="C200" s="142"/>
    </row>
    <row r="201" spans="1:4">
      <c r="A201" s="164"/>
      <c r="B201" s="142"/>
      <c r="C201" s="142"/>
    </row>
    <row r="202" spans="1:4">
      <c r="A202" s="164"/>
      <c r="B202" s="142"/>
      <c r="C202" s="142"/>
    </row>
    <row r="203" spans="1:4">
      <c r="A203" s="164"/>
      <c r="B203" s="142"/>
      <c r="C203" s="142"/>
    </row>
    <row r="204" spans="1:4">
      <c r="A204" s="164"/>
      <c r="B204" s="142"/>
      <c r="C204" s="142"/>
      <c r="D204" s="142"/>
    </row>
    <row r="205" spans="1:4">
      <c r="A205" s="164"/>
      <c r="B205" s="142"/>
      <c r="C205" s="142"/>
      <c r="D205" s="142"/>
    </row>
    <row r="206" spans="1:4">
      <c r="A206" s="164"/>
      <c r="B206" s="142"/>
      <c r="C206" s="142"/>
      <c r="D206" s="142"/>
    </row>
    <row r="207" spans="1:4">
      <c r="A207" s="164"/>
      <c r="B207" s="142"/>
      <c r="C207" s="142"/>
      <c r="D207" s="142"/>
    </row>
    <row r="208" spans="1:4">
      <c r="A208" s="164"/>
      <c r="B208" s="142"/>
      <c r="C208" s="142"/>
      <c r="D208" s="142"/>
    </row>
    <row r="209" spans="1:4">
      <c r="A209" s="164"/>
      <c r="B209" s="142"/>
      <c r="C209" s="142"/>
      <c r="D209" s="142"/>
    </row>
    <row r="210" spans="1:4">
      <c r="A210" s="164"/>
      <c r="B210" s="142"/>
      <c r="C210" s="142"/>
      <c r="D210" s="142"/>
    </row>
    <row r="211" spans="1:4">
      <c r="A211" s="164"/>
      <c r="B211" s="142"/>
      <c r="C211" s="142"/>
      <c r="D211" s="142"/>
    </row>
    <row r="212" spans="1:4">
      <c r="A212" s="164"/>
      <c r="B212" s="142"/>
      <c r="C212" s="142"/>
      <c r="D212" s="142"/>
    </row>
    <row r="213" spans="1:4">
      <c r="A213" s="164"/>
      <c r="B213" s="142"/>
      <c r="C213" s="142"/>
      <c r="D213" s="142"/>
    </row>
    <row r="214" spans="1:4">
      <c r="A214" s="164"/>
      <c r="B214" s="142"/>
      <c r="C214" s="142"/>
      <c r="D214" s="142"/>
    </row>
    <row r="215" spans="1:4">
      <c r="A215" s="164"/>
      <c r="B215" s="142"/>
      <c r="C215" s="142"/>
      <c r="D215" s="142"/>
    </row>
    <row r="216" spans="1:4">
      <c r="A216" s="164"/>
      <c r="B216" s="142"/>
      <c r="C216" s="142"/>
      <c r="D216" s="142"/>
    </row>
    <row r="217" spans="1:4">
      <c r="A217" s="164"/>
      <c r="B217" s="142"/>
      <c r="C217" s="142"/>
      <c r="D217" s="142"/>
    </row>
    <row r="218" spans="1:4">
      <c r="A218" s="164"/>
      <c r="B218" s="142"/>
      <c r="C218" s="142"/>
      <c r="D218" s="142"/>
    </row>
    <row r="219" spans="1:4">
      <c r="A219" s="164"/>
      <c r="B219" s="142"/>
      <c r="C219" s="142"/>
      <c r="D219" s="142"/>
    </row>
    <row r="220" spans="1:4">
      <c r="A220" s="164"/>
      <c r="B220" s="142"/>
      <c r="C220" s="142"/>
      <c r="D220" s="142"/>
    </row>
    <row r="221" spans="1:4">
      <c r="A221" s="164"/>
      <c r="B221" s="142"/>
      <c r="C221" s="142"/>
      <c r="D221" s="142"/>
    </row>
    <row r="222" spans="1:4">
      <c r="A222" s="164"/>
      <c r="B222" s="142"/>
      <c r="C222" s="142"/>
      <c r="D222" s="142"/>
    </row>
    <row r="223" spans="1:4">
      <c r="A223" s="164"/>
      <c r="B223" s="142"/>
      <c r="C223" s="142"/>
      <c r="D223" s="142"/>
    </row>
    <row r="224" spans="1:4">
      <c r="A224" s="164"/>
      <c r="B224" s="142"/>
      <c r="C224" s="142"/>
      <c r="D224" s="142"/>
    </row>
    <row r="225" spans="1:4">
      <c r="A225" s="164"/>
      <c r="B225" s="142"/>
      <c r="C225" s="142"/>
      <c r="D225" s="142"/>
    </row>
    <row r="226" spans="1:4">
      <c r="A226" s="164"/>
      <c r="B226" s="142"/>
      <c r="C226" s="142"/>
      <c r="D226" s="142"/>
    </row>
    <row r="227" spans="1:4">
      <c r="A227" s="164"/>
      <c r="B227" s="142"/>
      <c r="C227" s="142"/>
      <c r="D227" s="142"/>
    </row>
    <row r="228" spans="1:4">
      <c r="A228" s="164"/>
      <c r="B228" s="142"/>
      <c r="C228" s="142"/>
      <c r="D228" s="142"/>
    </row>
    <row r="229" spans="1:4">
      <c r="A229" s="164"/>
      <c r="B229" s="142"/>
      <c r="C229" s="142"/>
      <c r="D229" s="142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7192A-A4D4-47AA-855F-AD2126A93143}">
  <dimension ref="A1:G78"/>
  <sheetViews>
    <sheetView zoomScale="110" zoomScaleNormal="110" workbookViewId="0">
      <selection activeCell="B3" sqref="B3"/>
    </sheetView>
  </sheetViews>
  <sheetFormatPr defaultRowHeight="13.2"/>
  <cols>
    <col min="1" max="1" width="18.21875" style="160" bestFit="1" customWidth="1"/>
    <col min="2" max="5" width="25.5546875" style="160" bestFit="1" customWidth="1"/>
    <col min="6" max="9" width="10.5546875" style="160" customWidth="1"/>
    <col min="10" max="16384" width="8.88671875" style="160"/>
  </cols>
  <sheetData>
    <row r="1" spans="1:7">
      <c r="A1" s="160" t="s">
        <v>225</v>
      </c>
    </row>
    <row r="2" spans="1:7">
      <c r="A2" s="160" t="s">
        <v>238</v>
      </c>
      <c r="B2" s="173" t="s">
        <v>246</v>
      </c>
      <c r="C2" s="173" t="s">
        <v>245</v>
      </c>
      <c r="D2" s="173" t="s">
        <v>243</v>
      </c>
      <c r="E2" s="173" t="s">
        <v>244</v>
      </c>
    </row>
    <row r="3" spans="1:7" ht="15.6">
      <c r="B3" s="176" t="s">
        <v>224</v>
      </c>
    </row>
    <row r="4" spans="1:7">
      <c r="A4" s="173" t="s">
        <v>223</v>
      </c>
      <c r="B4" s="174">
        <v>34.335000000000001</v>
      </c>
      <c r="C4" s="174">
        <v>128.26</v>
      </c>
      <c r="D4" s="178">
        <v>77.111999999999995</v>
      </c>
      <c r="E4" s="174">
        <v>30.18</v>
      </c>
      <c r="F4" s="191"/>
      <c r="G4" s="191"/>
    </row>
    <row r="5" spans="1:7">
      <c r="A5" s="173" t="s">
        <v>222</v>
      </c>
      <c r="B5" s="174">
        <v>188.995</v>
      </c>
      <c r="C5" s="174">
        <v>286.726</v>
      </c>
      <c r="D5" s="178">
        <v>378.97199999999998</v>
      </c>
      <c r="E5" s="174">
        <v>257.26900000000001</v>
      </c>
      <c r="F5" s="191"/>
      <c r="G5" s="191"/>
    </row>
    <row r="6" spans="1:7">
      <c r="A6" s="173" t="s">
        <v>221</v>
      </c>
      <c r="B6" s="174">
        <v>322.22899999999998</v>
      </c>
      <c r="C6" s="174">
        <v>472.12200000000001</v>
      </c>
      <c r="D6" s="178">
        <v>642.28099999999995</v>
      </c>
      <c r="E6" s="174">
        <v>348.084</v>
      </c>
      <c r="F6" s="191"/>
      <c r="G6" s="191"/>
    </row>
    <row r="7" spans="1:7">
      <c r="A7" s="173" t="s">
        <v>220</v>
      </c>
      <c r="B7" s="174">
        <v>517.28399999999999</v>
      </c>
      <c r="C7" s="174">
        <v>691.07600000000002</v>
      </c>
      <c r="D7" s="178">
        <v>790.14599999999996</v>
      </c>
      <c r="E7" s="174">
        <v>646.16999999999996</v>
      </c>
      <c r="F7" s="191"/>
      <c r="G7" s="191"/>
    </row>
    <row r="8" spans="1:7">
      <c r="A8" s="173" t="s">
        <v>219</v>
      </c>
      <c r="B8" s="174">
        <v>712.74900000000002</v>
      </c>
      <c r="C8" s="174">
        <v>928.66800000000001</v>
      </c>
      <c r="D8" s="178">
        <v>939.75599999999997</v>
      </c>
      <c r="E8" s="174">
        <v>875.49800000000005</v>
      </c>
      <c r="F8" s="191"/>
      <c r="G8" s="191"/>
    </row>
    <row r="9" spans="1:7">
      <c r="A9" s="173" t="s">
        <v>218</v>
      </c>
      <c r="B9" s="174">
        <v>1028.703</v>
      </c>
      <c r="C9" s="174">
        <v>1115.2539999999999</v>
      </c>
      <c r="D9" s="178">
        <v>1215.923</v>
      </c>
      <c r="E9" s="174">
        <v>1099.9359999999999</v>
      </c>
      <c r="F9" s="191"/>
      <c r="G9" s="191"/>
    </row>
    <row r="10" spans="1:7">
      <c r="A10" s="160" t="s">
        <v>217</v>
      </c>
      <c r="B10" s="174">
        <v>1175.306</v>
      </c>
      <c r="C10" s="174">
        <v>1385.422</v>
      </c>
      <c r="D10" s="178">
        <v>1375.825</v>
      </c>
      <c r="E10" s="174">
        <v>1417.675</v>
      </c>
      <c r="F10" s="191"/>
      <c r="G10" s="191"/>
    </row>
    <row r="11" spans="1:7">
      <c r="A11" s="160" t="s">
        <v>216</v>
      </c>
      <c r="B11" s="174">
        <v>1349.163</v>
      </c>
      <c r="C11" s="174">
        <v>1595.2929999999999</v>
      </c>
      <c r="D11" s="178">
        <v>1589.4870000000001</v>
      </c>
      <c r="E11" s="174">
        <v>1680.8309999999999</v>
      </c>
      <c r="F11" s="191"/>
      <c r="G11" s="191"/>
    </row>
    <row r="12" spans="1:7">
      <c r="A12" s="160" t="s">
        <v>215</v>
      </c>
      <c r="B12" s="174">
        <v>1609.3889999999999</v>
      </c>
      <c r="C12" s="174">
        <v>1861.3309999999999</v>
      </c>
      <c r="D12" s="178">
        <v>1803.828</v>
      </c>
      <c r="E12" s="174">
        <v>1908.356</v>
      </c>
      <c r="F12" s="191"/>
      <c r="G12" s="191"/>
    </row>
    <row r="13" spans="1:7">
      <c r="A13" s="160" t="s">
        <v>214</v>
      </c>
      <c r="B13" s="174">
        <v>1875.4829999999999</v>
      </c>
      <c r="C13" s="174">
        <v>2125.61</v>
      </c>
      <c r="D13" s="178">
        <v>1979.066</v>
      </c>
      <c r="E13" s="174">
        <v>2132.732</v>
      </c>
      <c r="F13" s="191"/>
      <c r="G13" s="191"/>
    </row>
    <row r="14" spans="1:7">
      <c r="A14" s="164" t="s">
        <v>213</v>
      </c>
      <c r="B14" s="174">
        <v>2136.4459999999999</v>
      </c>
      <c r="C14" s="174">
        <v>2360.2809999999999</v>
      </c>
      <c r="D14" s="178">
        <v>2252.0659999999998</v>
      </c>
      <c r="E14" s="174">
        <v>2372.922</v>
      </c>
      <c r="F14" s="191"/>
      <c r="G14" s="191"/>
    </row>
    <row r="15" spans="1:7">
      <c r="A15" s="164" t="s">
        <v>212</v>
      </c>
      <c r="B15" s="174">
        <v>2358.7750000000001</v>
      </c>
      <c r="C15" s="174">
        <v>2546.9250000000002</v>
      </c>
      <c r="D15" s="178">
        <v>2421.9090000000001</v>
      </c>
      <c r="E15" s="174">
        <v>2687.0479999999998</v>
      </c>
      <c r="F15" s="191"/>
      <c r="G15" s="191"/>
    </row>
    <row r="16" spans="1:7">
      <c r="A16" s="164" t="s">
        <v>211</v>
      </c>
      <c r="B16" s="174">
        <v>2573.1439999999998</v>
      </c>
      <c r="C16" s="174">
        <v>2849.1390000000001</v>
      </c>
      <c r="D16" s="178">
        <v>2622.989</v>
      </c>
      <c r="E16" s="174">
        <v>2972.6880000000001</v>
      </c>
      <c r="F16" s="191"/>
      <c r="G16" s="191"/>
    </row>
    <row r="17" spans="1:7">
      <c r="A17" s="164" t="s">
        <v>210</v>
      </c>
      <c r="B17" s="174">
        <v>2714.3290000000002</v>
      </c>
      <c r="C17" s="174">
        <v>2973.5529999999999</v>
      </c>
      <c r="D17" s="178">
        <v>2771.1129999999998</v>
      </c>
      <c r="E17" s="174">
        <v>3252.6419999999998</v>
      </c>
      <c r="F17" s="191"/>
      <c r="G17" s="191"/>
    </row>
    <row r="18" spans="1:7">
      <c r="A18" s="175" t="s">
        <v>209</v>
      </c>
      <c r="B18" s="174">
        <v>2902.942</v>
      </c>
      <c r="C18" s="174">
        <v>2973.5529999999999</v>
      </c>
      <c r="D18" s="178">
        <v>3024.4749999999999</v>
      </c>
      <c r="E18" s="174">
        <v>3464.7249999999999</v>
      </c>
      <c r="F18" s="191"/>
      <c r="G18" s="191"/>
    </row>
    <row r="19" spans="1:7">
      <c r="A19" s="164" t="s">
        <v>208</v>
      </c>
      <c r="B19" s="174">
        <v>3099.74</v>
      </c>
      <c r="C19" s="174">
        <v>2973.5529999999999</v>
      </c>
      <c r="D19" s="178">
        <v>3256.1039999999998</v>
      </c>
      <c r="E19" s="174">
        <v>3703.7280000000001</v>
      </c>
      <c r="F19" s="191"/>
      <c r="G19" s="191"/>
    </row>
    <row r="20" spans="1:7">
      <c r="A20" s="164" t="s">
        <v>207</v>
      </c>
      <c r="B20" s="174">
        <v>3360.259</v>
      </c>
      <c r="C20" s="174">
        <v>2973.5529999999999</v>
      </c>
      <c r="D20" s="178">
        <v>3445.3490000000002</v>
      </c>
      <c r="E20" s="174">
        <v>4052.2629999999999</v>
      </c>
      <c r="F20" s="191"/>
      <c r="G20" s="191"/>
    </row>
    <row r="21" spans="1:7">
      <c r="A21" s="173" t="s">
        <v>206</v>
      </c>
      <c r="B21" s="172">
        <v>3651.163</v>
      </c>
      <c r="C21" s="174">
        <v>2973.5529999999999</v>
      </c>
      <c r="D21" s="178">
        <v>3617.2359999999999</v>
      </c>
      <c r="E21" s="174">
        <v>4251.6660000000002</v>
      </c>
      <c r="F21" s="191"/>
      <c r="G21" s="191"/>
    </row>
    <row r="22" spans="1:7">
      <c r="A22" s="160" t="s">
        <v>205</v>
      </c>
      <c r="B22" s="172">
        <v>3904.7350000000001</v>
      </c>
      <c r="C22" s="174">
        <v>2973.5529999999999</v>
      </c>
      <c r="D22" s="178">
        <v>3885.4250000000002</v>
      </c>
      <c r="E22" s="174">
        <v>4503.1390000000001</v>
      </c>
      <c r="F22" s="191"/>
      <c r="G22" s="191"/>
    </row>
    <row r="23" spans="1:7">
      <c r="A23" s="160" t="s">
        <v>204</v>
      </c>
      <c r="B23" s="172">
        <v>4233.9809999999998</v>
      </c>
      <c r="C23" s="174">
        <v>4616.7939999999999</v>
      </c>
      <c r="D23" s="178">
        <v>4122.5630000000001</v>
      </c>
      <c r="E23" s="174">
        <v>4871.8069999999998</v>
      </c>
      <c r="F23" s="191"/>
      <c r="G23" s="191"/>
    </row>
    <row r="24" spans="1:7">
      <c r="A24" s="160" t="s">
        <v>203</v>
      </c>
      <c r="B24" s="172">
        <v>4498.5680000000002</v>
      </c>
      <c r="C24" s="174">
        <v>4965.1899999999996</v>
      </c>
      <c r="D24" s="178">
        <v>4399.2190000000001</v>
      </c>
      <c r="E24" s="174">
        <v>5016.3770000000004</v>
      </c>
      <c r="F24" s="191"/>
      <c r="G24" s="191"/>
    </row>
    <row r="25" spans="1:7">
      <c r="A25" s="160" t="s">
        <v>202</v>
      </c>
      <c r="B25" s="172">
        <v>4811.2190000000001</v>
      </c>
      <c r="C25" s="174">
        <v>5137.6459999999997</v>
      </c>
      <c r="D25" s="178">
        <v>4737.4759999999997</v>
      </c>
      <c r="E25" s="174">
        <v>5449.1490000000003</v>
      </c>
      <c r="F25" s="191"/>
      <c r="G25" s="191"/>
    </row>
    <row r="26" spans="1:7">
      <c r="A26" s="160" t="s">
        <v>201</v>
      </c>
      <c r="B26" s="172">
        <v>5083.4459999999999</v>
      </c>
      <c r="C26" s="174">
        <v>5329.8459999999995</v>
      </c>
      <c r="D26" s="178">
        <v>5078.933</v>
      </c>
      <c r="E26" s="174"/>
      <c r="F26" s="191"/>
      <c r="G26" s="191"/>
    </row>
    <row r="27" spans="1:7">
      <c r="A27" s="160" t="s">
        <v>200</v>
      </c>
      <c r="B27" s="172">
        <v>5230.9790000000003</v>
      </c>
      <c r="C27" s="174">
        <v>5515.1980000000003</v>
      </c>
      <c r="D27" s="178">
        <v>5320.7849999999999</v>
      </c>
      <c r="E27" s="174"/>
      <c r="F27" s="191"/>
      <c r="G27" s="191"/>
    </row>
    <row r="28" spans="1:7">
      <c r="A28" s="160" t="s">
        <v>199</v>
      </c>
      <c r="B28" s="172">
        <v>5517.5749999999998</v>
      </c>
      <c r="C28" s="174">
        <v>5733.4409999999998</v>
      </c>
      <c r="D28" s="178">
        <v>5610.5259999999998</v>
      </c>
      <c r="E28" s="174"/>
      <c r="F28" s="191"/>
      <c r="G28" s="191"/>
    </row>
    <row r="29" spans="1:7">
      <c r="A29" s="160" t="s">
        <v>198</v>
      </c>
      <c r="B29" s="172">
        <v>5708.3680000000004</v>
      </c>
      <c r="C29" s="174">
        <v>6028.5</v>
      </c>
      <c r="D29" s="178">
        <v>5935.3860000000004</v>
      </c>
      <c r="E29" s="174"/>
      <c r="F29" s="191"/>
      <c r="G29" s="191"/>
    </row>
    <row r="30" spans="1:7">
      <c r="A30" s="160" t="s">
        <v>197</v>
      </c>
      <c r="B30" s="172">
        <v>6005.7309999999998</v>
      </c>
      <c r="C30" s="174">
        <v>6272.33</v>
      </c>
      <c r="D30" s="178">
        <v>6208.4480000000003</v>
      </c>
      <c r="E30" s="174"/>
      <c r="F30" s="191"/>
      <c r="G30" s="191"/>
    </row>
    <row r="31" spans="1:7">
      <c r="A31" s="160" t="s">
        <v>196</v>
      </c>
      <c r="B31" s="171">
        <v>6280.0219999999999</v>
      </c>
      <c r="C31" s="174">
        <v>6655.1559999999999</v>
      </c>
      <c r="D31" s="178">
        <v>6403.3029999999999</v>
      </c>
      <c r="E31" s="174"/>
      <c r="F31" s="191"/>
      <c r="G31" s="191"/>
    </row>
    <row r="32" spans="1:7">
      <c r="A32" s="160" t="s">
        <v>195</v>
      </c>
      <c r="B32" s="171">
        <v>6548.8779999999997</v>
      </c>
      <c r="C32" s="174">
        <v>6951.14</v>
      </c>
      <c r="D32" s="178">
        <v>6738.6189999999997</v>
      </c>
      <c r="E32" s="174"/>
      <c r="F32" s="191"/>
      <c r="G32" s="191"/>
    </row>
    <row r="33" spans="1:7">
      <c r="A33" s="160" t="s">
        <v>194</v>
      </c>
      <c r="B33" s="171">
        <v>6855.3419999999996</v>
      </c>
      <c r="C33" s="174">
        <v>7176.9639999999999</v>
      </c>
      <c r="D33" s="178">
        <v>6942.9920000000002</v>
      </c>
      <c r="E33" s="174"/>
      <c r="F33" s="191"/>
      <c r="G33" s="191"/>
    </row>
    <row r="34" spans="1:7">
      <c r="A34" s="160" t="s">
        <v>193</v>
      </c>
      <c r="B34" s="171">
        <v>7156.32</v>
      </c>
      <c r="C34" s="174">
        <v>7441.7690000000002</v>
      </c>
      <c r="D34" s="178">
        <v>7203.1459999999997</v>
      </c>
      <c r="E34" s="174"/>
      <c r="F34" s="191"/>
      <c r="G34" s="191"/>
    </row>
    <row r="35" spans="1:7">
      <c r="A35" s="160" t="s">
        <v>192</v>
      </c>
      <c r="B35" s="171">
        <v>7416.6769999999997</v>
      </c>
      <c r="C35" s="174">
        <v>7654.6109999999999</v>
      </c>
      <c r="D35" s="178">
        <v>7377.665</v>
      </c>
      <c r="E35" s="174"/>
      <c r="F35" s="191"/>
      <c r="G35" s="191"/>
    </row>
    <row r="36" spans="1:7">
      <c r="A36" s="160" t="s">
        <v>191</v>
      </c>
      <c r="B36" s="171">
        <v>7673.6670000000004</v>
      </c>
      <c r="C36" s="174">
        <v>7862.5789999999997</v>
      </c>
      <c r="D36" s="178">
        <v>7586.5540000000001</v>
      </c>
      <c r="E36" s="174"/>
      <c r="F36" s="191"/>
      <c r="G36" s="191"/>
    </row>
    <row r="37" spans="1:7">
      <c r="A37" s="160" t="s">
        <v>190</v>
      </c>
      <c r="B37" s="171">
        <v>7879.8459999999995</v>
      </c>
      <c r="C37" s="174">
        <v>8105.6530000000002</v>
      </c>
      <c r="D37" s="178">
        <v>7811.6930000000002</v>
      </c>
      <c r="E37" s="174"/>
      <c r="F37" s="191"/>
      <c r="G37" s="191"/>
    </row>
    <row r="38" spans="1:7">
      <c r="A38" s="160" t="s">
        <v>189</v>
      </c>
      <c r="B38" s="171">
        <v>8076.5159999999996</v>
      </c>
      <c r="C38" s="174">
        <v>8270.2469999999994</v>
      </c>
      <c r="D38" s="178">
        <v>8098.223</v>
      </c>
      <c r="E38" s="174"/>
      <c r="F38" s="191"/>
      <c r="G38" s="191"/>
    </row>
    <row r="39" spans="1:7">
      <c r="A39" s="160" t="s">
        <v>188</v>
      </c>
      <c r="B39" s="171">
        <v>8386.4410000000007</v>
      </c>
      <c r="C39" s="174">
        <v>8430.5550000000003</v>
      </c>
      <c r="D39" s="178">
        <v>8280.0079999999998</v>
      </c>
      <c r="E39" s="174"/>
      <c r="F39" s="191"/>
      <c r="G39" s="191"/>
    </row>
    <row r="40" spans="1:7">
      <c r="A40" s="160" t="s">
        <v>187</v>
      </c>
      <c r="B40" s="171">
        <v>8596.5830000000005</v>
      </c>
      <c r="C40" s="174">
        <v>8597.8629999999994</v>
      </c>
      <c r="D40" s="178">
        <v>8480.8289999999997</v>
      </c>
      <c r="E40" s="174"/>
      <c r="F40" s="191"/>
      <c r="G40" s="191"/>
    </row>
    <row r="41" spans="1:7">
      <c r="A41" s="160" t="s">
        <v>186</v>
      </c>
      <c r="B41" s="171">
        <v>8869.9349999999995</v>
      </c>
      <c r="C41" s="174">
        <v>8704.9590000000007</v>
      </c>
      <c r="D41" s="178">
        <v>8777.9940000000006</v>
      </c>
      <c r="E41" s="174"/>
      <c r="F41" s="191"/>
      <c r="G41" s="191"/>
    </row>
    <row r="42" spans="1:7">
      <c r="A42" s="160" t="s">
        <v>185</v>
      </c>
      <c r="B42" s="171">
        <v>9120.8449999999993</v>
      </c>
      <c r="C42" s="174">
        <v>8904.1959999999999</v>
      </c>
      <c r="D42" s="178">
        <v>8970.3490000000002</v>
      </c>
      <c r="E42" s="174"/>
      <c r="F42" s="191"/>
      <c r="G42" s="191"/>
    </row>
    <row r="43" spans="1:7">
      <c r="A43" s="160" t="s">
        <v>184</v>
      </c>
      <c r="B43" s="171">
        <v>9274.7710000000006</v>
      </c>
      <c r="C43" s="174">
        <v>9015.1610000000001</v>
      </c>
      <c r="D43" s="178">
        <v>9282.07</v>
      </c>
      <c r="E43" s="174"/>
      <c r="F43" s="191"/>
      <c r="G43" s="191"/>
    </row>
    <row r="44" spans="1:7">
      <c r="A44" s="166" t="s">
        <v>183</v>
      </c>
      <c r="B44" s="171">
        <v>9616.6980000000003</v>
      </c>
      <c r="C44" s="174">
        <v>9208.3140000000003</v>
      </c>
      <c r="D44" s="178">
        <v>9486.4680000000008</v>
      </c>
      <c r="E44" s="174"/>
      <c r="F44" s="191"/>
      <c r="G44" s="191"/>
    </row>
    <row r="45" spans="1:7">
      <c r="A45" s="166" t="s">
        <v>182</v>
      </c>
      <c r="B45" s="171">
        <v>9832.0660000000007</v>
      </c>
      <c r="C45" s="174">
        <v>9336.0679999999993</v>
      </c>
      <c r="D45" s="178">
        <v>9691.1569999999992</v>
      </c>
      <c r="E45" s="174"/>
      <c r="F45" s="191"/>
      <c r="G45" s="191"/>
    </row>
    <row r="46" spans="1:7">
      <c r="A46" s="166" t="s">
        <v>181</v>
      </c>
      <c r="B46" s="171">
        <v>10079.728999999999</v>
      </c>
      <c r="C46" s="174">
        <v>9538.24</v>
      </c>
      <c r="D46" s="178">
        <v>9876.4979999999996</v>
      </c>
      <c r="E46" s="174"/>
      <c r="F46" s="191"/>
      <c r="G46" s="191"/>
    </row>
    <row r="47" spans="1:7">
      <c r="A47" s="166" t="s">
        <v>180</v>
      </c>
      <c r="B47" s="171">
        <v>10335.317999999999</v>
      </c>
      <c r="C47" s="174">
        <v>9704.4359999999997</v>
      </c>
      <c r="D47" s="178">
        <v>10108.959999999999</v>
      </c>
      <c r="E47" s="174"/>
      <c r="F47" s="191"/>
      <c r="G47" s="191"/>
    </row>
    <row r="48" spans="1:7">
      <c r="A48" s="166" t="s">
        <v>179</v>
      </c>
      <c r="B48" s="171">
        <v>10546.023999999999</v>
      </c>
      <c r="C48" s="174">
        <v>9974.8310000000001</v>
      </c>
      <c r="D48" s="178">
        <v>10305.508</v>
      </c>
      <c r="E48" s="174"/>
      <c r="F48" s="191"/>
      <c r="G48" s="191"/>
    </row>
    <row r="49" spans="1:7">
      <c r="A49" s="166" t="s">
        <v>178</v>
      </c>
      <c r="B49" s="171">
        <v>10730.507</v>
      </c>
      <c r="C49" s="174">
        <v>10076.924000000001</v>
      </c>
      <c r="D49" s="178">
        <v>10527.985000000001</v>
      </c>
      <c r="E49" s="174"/>
      <c r="F49" s="191"/>
      <c r="G49" s="191"/>
    </row>
    <row r="50" spans="1:7">
      <c r="A50" s="160" t="s">
        <v>177</v>
      </c>
      <c r="B50" s="171">
        <v>10983.598</v>
      </c>
      <c r="C50" s="174">
        <v>10372.196</v>
      </c>
      <c r="D50" s="178">
        <v>10760.697</v>
      </c>
      <c r="E50" s="174"/>
      <c r="F50" s="191"/>
      <c r="G50" s="191"/>
    </row>
    <row r="51" spans="1:7">
      <c r="A51" s="160" t="s">
        <v>176</v>
      </c>
      <c r="B51" s="171">
        <v>11150.569</v>
      </c>
      <c r="C51" s="174">
        <v>10634.084000000001</v>
      </c>
      <c r="D51" s="178">
        <v>10920.295</v>
      </c>
      <c r="E51" s="174"/>
      <c r="F51" s="191"/>
      <c r="G51" s="191"/>
    </row>
    <row r="52" spans="1:7">
      <c r="A52" s="160" t="s">
        <v>158</v>
      </c>
      <c r="B52" s="171">
        <v>11356.829</v>
      </c>
      <c r="C52" s="174">
        <v>10773.343999999999</v>
      </c>
      <c r="D52" s="178">
        <v>11099.288</v>
      </c>
      <c r="E52" s="174"/>
      <c r="F52" s="191"/>
      <c r="G52" s="191"/>
    </row>
    <row r="53" spans="1:7">
      <c r="A53" s="160" t="s">
        <v>159</v>
      </c>
      <c r="B53" s="171">
        <v>11581.002</v>
      </c>
      <c r="C53" s="174">
        <v>10969.276</v>
      </c>
      <c r="D53" s="178">
        <v>11328.003000000001</v>
      </c>
      <c r="E53" s="174"/>
      <c r="F53" s="191"/>
      <c r="G53" s="191"/>
    </row>
    <row r="54" spans="1:7">
      <c r="A54" s="160" t="s">
        <v>160</v>
      </c>
      <c r="B54" s="171">
        <v>11858.800999999999</v>
      </c>
      <c r="C54" s="174">
        <v>11166.97</v>
      </c>
      <c r="D54" s="178">
        <v>11466.236000000001</v>
      </c>
      <c r="E54" s="174"/>
      <c r="F54" s="191"/>
      <c r="G54" s="191"/>
    </row>
    <row r="55" spans="1:7">
      <c r="A55" s="160" t="s">
        <v>161</v>
      </c>
      <c r="B55" s="171">
        <v>12067.429</v>
      </c>
      <c r="C55" s="174">
        <v>11347.196</v>
      </c>
      <c r="D55" s="178">
        <v>11601.996999999999</v>
      </c>
      <c r="E55" s="174"/>
      <c r="F55" s="191"/>
      <c r="G55" s="191"/>
    </row>
    <row r="56" spans="1:7">
      <c r="D56" s="174"/>
      <c r="E56" s="174"/>
    </row>
    <row r="57" spans="1:7">
      <c r="E57" s="174"/>
    </row>
    <row r="58" spans="1:7">
      <c r="E58" s="174"/>
    </row>
    <row r="59" spans="1:7">
      <c r="E59" s="174"/>
    </row>
    <row r="60" spans="1:7">
      <c r="E60" s="174"/>
    </row>
    <row r="61" spans="1:7">
      <c r="E61" s="174"/>
    </row>
    <row r="62" spans="1:7">
      <c r="E62" s="174"/>
    </row>
    <row r="63" spans="1:7">
      <c r="E63" s="174"/>
    </row>
    <row r="64" spans="1:7">
      <c r="E64" s="174"/>
    </row>
    <row r="65" spans="5:5">
      <c r="E65" s="174"/>
    </row>
    <row r="66" spans="5:5">
      <c r="E66" s="174"/>
    </row>
    <row r="67" spans="5:5">
      <c r="E67" s="174"/>
    </row>
    <row r="68" spans="5:5">
      <c r="E68" s="174"/>
    </row>
    <row r="69" spans="5:5">
      <c r="E69" s="174"/>
    </row>
    <row r="70" spans="5:5">
      <c r="E70" s="174"/>
    </row>
    <row r="71" spans="5:5">
      <c r="E71" s="174"/>
    </row>
    <row r="72" spans="5:5">
      <c r="E72" s="174"/>
    </row>
    <row r="73" spans="5:5">
      <c r="E73" s="174"/>
    </row>
    <row r="74" spans="5:5">
      <c r="E74" s="174"/>
    </row>
    <row r="75" spans="5:5">
      <c r="E75" s="174"/>
    </row>
    <row r="76" spans="5:5">
      <c r="E76" s="174"/>
    </row>
    <row r="77" spans="5:5">
      <c r="E77" s="174"/>
    </row>
    <row r="78" spans="5:5">
      <c r="E78" s="174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8"/>
  <sheetViews>
    <sheetView showGridLines="0" topLeftCell="A25" zoomScale="90" zoomScaleNormal="90" workbookViewId="0">
      <selection activeCell="E46" sqref="E46"/>
    </sheetView>
  </sheetViews>
  <sheetFormatPr defaultRowHeight="13.2"/>
  <cols>
    <col min="1" max="1" width="21.77734375" customWidth="1"/>
    <col min="2" max="2" width="11.5546875" customWidth="1"/>
    <col min="3" max="3" width="9.5546875" customWidth="1"/>
    <col min="4" max="4" width="26.77734375" customWidth="1"/>
    <col min="5" max="5" width="9.77734375" customWidth="1"/>
    <col min="6" max="6" width="10.77734375" customWidth="1"/>
    <col min="7" max="7" width="7.77734375" customWidth="1"/>
    <col min="8" max="8" width="9.77734375" customWidth="1"/>
    <col min="9" max="9" width="1.77734375" customWidth="1"/>
    <col min="10" max="10" width="9.77734375" customWidth="1"/>
    <col min="11" max="12" width="10.77734375" customWidth="1"/>
    <col min="13" max="14" width="9.77734375" customWidth="1"/>
  </cols>
  <sheetData>
    <row r="1" spans="1:14" ht="13.8">
      <c r="A1" s="33" t="s">
        <v>136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3.8">
      <c r="A2" s="34"/>
      <c r="B2" s="127" t="s">
        <v>21</v>
      </c>
      <c r="C2" s="124"/>
      <c r="D2" s="36" t="s">
        <v>24</v>
      </c>
      <c r="E2" s="126"/>
      <c r="F2" s="124" t="s">
        <v>75</v>
      </c>
      <c r="G2" s="124"/>
      <c r="H2" s="124"/>
      <c r="I2" s="37"/>
      <c r="J2" s="126"/>
      <c r="K2" s="124"/>
      <c r="L2" s="128" t="s">
        <v>61</v>
      </c>
      <c r="M2" s="124"/>
      <c r="N2" s="34"/>
    </row>
    <row r="3" spans="1:14" ht="13.8">
      <c r="A3" s="34" t="s">
        <v>69</v>
      </c>
      <c r="B3" s="36" t="s">
        <v>22</v>
      </c>
      <c r="C3" s="34" t="s">
        <v>23</v>
      </c>
      <c r="D3" s="36"/>
      <c r="E3" s="38" t="s">
        <v>8</v>
      </c>
      <c r="F3" s="38"/>
      <c r="G3" s="38"/>
      <c r="H3" s="38"/>
      <c r="I3" s="38"/>
      <c r="J3" s="36" t="s">
        <v>63</v>
      </c>
      <c r="K3" s="38" t="s">
        <v>83</v>
      </c>
      <c r="L3" s="38"/>
      <c r="M3" s="38"/>
      <c r="N3" s="38" t="s">
        <v>6</v>
      </c>
    </row>
    <row r="4" spans="1:14" ht="13.8">
      <c r="A4" s="39" t="s">
        <v>72</v>
      </c>
      <c r="B4" s="40"/>
      <c r="C4" s="40"/>
      <c r="D4" s="40"/>
      <c r="E4" s="41" t="s">
        <v>7</v>
      </c>
      <c r="F4" s="41" t="s">
        <v>1</v>
      </c>
      <c r="G4" s="42" t="s">
        <v>2</v>
      </c>
      <c r="H4" s="43" t="s">
        <v>3</v>
      </c>
      <c r="I4" s="42"/>
      <c r="J4" s="42"/>
      <c r="K4" s="42" t="s">
        <v>5</v>
      </c>
      <c r="L4" s="43" t="s">
        <v>4</v>
      </c>
      <c r="M4" s="41" t="s">
        <v>3</v>
      </c>
      <c r="N4" s="42" t="s">
        <v>7</v>
      </c>
    </row>
    <row r="5" spans="1:14" ht="14.4">
      <c r="A5" s="34"/>
      <c r="B5" s="122" t="s">
        <v>76</v>
      </c>
      <c r="C5" s="123"/>
      <c r="D5" s="44" t="s">
        <v>229</v>
      </c>
      <c r="G5" s="122"/>
      <c r="I5" s="122"/>
      <c r="J5" s="125" t="s">
        <v>132</v>
      </c>
      <c r="K5" s="122"/>
      <c r="L5" s="122"/>
      <c r="M5" s="122"/>
      <c r="N5" s="122"/>
    </row>
    <row r="6" spans="1:14" ht="16.5" customHeight="1">
      <c r="A6" s="34" t="s">
        <v>130</v>
      </c>
      <c r="B6" s="45">
        <v>89.167000000000002</v>
      </c>
      <c r="C6" s="45">
        <v>87.593999999999994</v>
      </c>
      <c r="D6" s="45">
        <f>F6/C6</f>
        <v>50.553120076717583</v>
      </c>
      <c r="E6" s="46">
        <v>438.10500000000002</v>
      </c>
      <c r="F6" s="47">
        <v>4428.1499999999996</v>
      </c>
      <c r="G6" s="48">
        <v>14.0573</v>
      </c>
      <c r="H6" s="48">
        <f>SUM(E6:G6)</f>
        <v>4880.3122999999996</v>
      </c>
      <c r="I6" s="34"/>
      <c r="J6" s="47">
        <v>2091.9902666666667</v>
      </c>
      <c r="K6" s="47">
        <f>M6-L6-J6</f>
        <v>203.01353333333282</v>
      </c>
      <c r="L6" s="48">
        <v>1676.2565</v>
      </c>
      <c r="M6" s="48">
        <f>H6-N6</f>
        <v>3971.2602999999995</v>
      </c>
      <c r="N6" s="48">
        <v>909.05200000000002</v>
      </c>
    </row>
    <row r="7" spans="1:14" ht="16.5" customHeight="1">
      <c r="A7" s="34" t="s">
        <v>134</v>
      </c>
      <c r="B7" s="45">
        <v>76.099999999999994</v>
      </c>
      <c r="C7" s="45">
        <v>74.938999999999993</v>
      </c>
      <c r="D7" s="45">
        <f>F7/C7</f>
        <v>47.397323156167019</v>
      </c>
      <c r="E7" s="46">
        <f>N6</f>
        <v>909.05200000000002</v>
      </c>
      <c r="F7" s="47">
        <f>F15</f>
        <v>3551.9079999999999</v>
      </c>
      <c r="G7" s="48">
        <f>G28</f>
        <v>15.399722739414511</v>
      </c>
      <c r="H7" s="48">
        <f>SUM(E7:G7)</f>
        <v>4476.3597227394148</v>
      </c>
      <c r="I7" s="34"/>
      <c r="J7" s="47">
        <f>J28</f>
        <v>2164.5542333333333</v>
      </c>
      <c r="K7" s="47">
        <f>M7-L7-J7</f>
        <v>105.241716924927</v>
      </c>
      <c r="L7" s="48">
        <f>L28</f>
        <v>1682.0227724811543</v>
      </c>
      <c r="M7" s="48">
        <f>H7-N7</f>
        <v>3951.8187227394146</v>
      </c>
      <c r="N7" s="48">
        <f>N27</f>
        <v>524.54100000000005</v>
      </c>
    </row>
    <row r="8" spans="1:14" ht="16.5" customHeight="1">
      <c r="A8" s="34" t="s">
        <v>146</v>
      </c>
      <c r="B8" s="45">
        <v>83.084000000000003</v>
      </c>
      <c r="C8" s="45">
        <v>82.317999999999998</v>
      </c>
      <c r="D8" s="45">
        <f>F8/C8</f>
        <v>50.237821618601032</v>
      </c>
      <c r="E8" s="46">
        <f>N7</f>
        <v>524.54100000000005</v>
      </c>
      <c r="F8" s="47">
        <f>F34</f>
        <v>4135.4769999999999</v>
      </c>
      <c r="G8" s="48">
        <v>35</v>
      </c>
      <c r="H8" s="48">
        <f>SUM(E8:G8)</f>
        <v>4695.018</v>
      </c>
      <c r="I8" s="34"/>
      <c r="J8" s="47">
        <v>2200</v>
      </c>
      <c r="K8" s="47">
        <f>M8-L8-J8</f>
        <v>125.01800000000003</v>
      </c>
      <c r="L8" s="48">
        <v>2250</v>
      </c>
      <c r="M8" s="48">
        <f>H8-N8</f>
        <v>4575.018</v>
      </c>
      <c r="N8" s="48">
        <v>120</v>
      </c>
    </row>
    <row r="9" spans="1:14" ht="16.5" customHeight="1">
      <c r="A9" s="37"/>
      <c r="B9" s="37"/>
      <c r="C9" s="37"/>
      <c r="D9" s="37"/>
      <c r="E9" s="50"/>
      <c r="F9" s="50"/>
      <c r="G9" s="51"/>
      <c r="H9" s="50"/>
      <c r="I9" s="50"/>
      <c r="J9" s="51"/>
      <c r="K9" s="51"/>
      <c r="L9" s="51"/>
      <c r="M9" s="51"/>
      <c r="N9" s="51"/>
    </row>
    <row r="10" spans="1:14" ht="16.5" customHeight="1">
      <c r="A10" s="37" t="s">
        <v>230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75"/>
    </row>
    <row r="11" spans="1:14" ht="16.5" customHeight="1">
      <c r="A11" s="34" t="s">
        <v>135</v>
      </c>
      <c r="B11" s="121"/>
      <c r="C11" s="121"/>
      <c r="D11" s="121"/>
      <c r="E11" s="121"/>
      <c r="F11" s="121"/>
      <c r="G11" s="55"/>
      <c r="H11" s="56"/>
      <c r="I11" s="129"/>
      <c r="J11" s="56"/>
      <c r="K11" s="56"/>
      <c r="L11" s="55"/>
      <c r="M11" s="55"/>
      <c r="N11" s="121"/>
    </row>
    <row r="12" spans="1:14" ht="16.5" customHeight="1">
      <c r="A12" s="37" t="s">
        <v>86</v>
      </c>
      <c r="B12" s="121"/>
      <c r="C12" s="121"/>
      <c r="D12" s="121"/>
      <c r="G12" s="55">
        <f>(0.61606+25.572761+5.722113)*2.204622/60</f>
        <v>1.1725257856158</v>
      </c>
      <c r="I12" s="121"/>
      <c r="J12" s="56">
        <f>4.870034*2000/60</f>
        <v>162.33446666666669</v>
      </c>
      <c r="K12" s="57"/>
      <c r="L12" s="55">
        <f>(34.198907+3866.166)*2.204622/60</f>
        <v>143.31383803333591</v>
      </c>
      <c r="M12" s="55"/>
      <c r="N12" s="56"/>
    </row>
    <row r="13" spans="1:14" ht="16.5" customHeight="1">
      <c r="A13" s="37" t="s">
        <v>88</v>
      </c>
      <c r="B13" s="121"/>
      <c r="C13" s="121"/>
      <c r="D13" s="121"/>
      <c r="E13" s="52"/>
      <c r="F13" s="54"/>
      <c r="G13" s="55">
        <f>(1.045181+37.412542+15.259817)*2.204622/60</f>
        <v>1.9737811744980001</v>
      </c>
      <c r="H13" s="56"/>
      <c r="I13" s="121"/>
      <c r="J13" s="56">
        <f>5.615616*2000/60</f>
        <v>187.18719999999999</v>
      </c>
      <c r="K13" s="57"/>
      <c r="L13" s="55">
        <f>(31.439182+5862.128)*2.204622/60</f>
        <v>216.55146446525342</v>
      </c>
      <c r="M13" s="55"/>
      <c r="N13" s="56"/>
    </row>
    <row r="14" spans="1:14" ht="16.5" customHeight="1">
      <c r="A14" s="37" t="s">
        <v>90</v>
      </c>
      <c r="B14" s="121"/>
      <c r="C14" s="121"/>
      <c r="D14" s="121"/>
      <c r="E14" s="52"/>
      <c r="F14" s="54"/>
      <c r="G14" s="55">
        <f>(0.996565+5.711141+5.30294)*2.204622/60</f>
        <v>0.44131557343020006</v>
      </c>
      <c r="H14" s="56"/>
      <c r="I14" s="121"/>
      <c r="J14" s="56">
        <f>5.239452*2000/60</f>
        <v>174.64840000000001</v>
      </c>
      <c r="K14" s="57"/>
      <c r="L14" s="55">
        <f>(18.866325+6806.837)*2.204622/60</f>
        <v>250.80159526280252</v>
      </c>
      <c r="M14" s="55"/>
      <c r="N14" s="56"/>
    </row>
    <row r="15" spans="1:14" ht="16.5" customHeight="1">
      <c r="A15" s="37" t="s">
        <v>66</v>
      </c>
      <c r="B15" s="121"/>
      <c r="C15" s="121"/>
      <c r="D15" s="121"/>
      <c r="E15" s="52">
        <v>909.05200000000002</v>
      </c>
      <c r="F15" s="54">
        <f>3551.908</f>
        <v>3551.9079999999999</v>
      </c>
      <c r="G15" s="55">
        <f>SUM(G12:G14)</f>
        <v>3.5876225335440002</v>
      </c>
      <c r="H15" s="56">
        <f>E15+F15+G15</f>
        <v>4464.5476225335442</v>
      </c>
      <c r="I15" s="121"/>
      <c r="J15" s="56">
        <f>SUM(J12:J14)</f>
        <v>524.17006666666668</v>
      </c>
      <c r="K15" s="57">
        <f>M15-L15-J15</f>
        <v>77.222658105485834</v>
      </c>
      <c r="L15" s="55">
        <f>SUM(L12:L14)</f>
        <v>610.66689776139185</v>
      </c>
      <c r="M15" s="55">
        <f>H15-N15</f>
        <v>1212.0596225335444</v>
      </c>
      <c r="N15" s="56">
        <v>3252.4879999999998</v>
      </c>
    </row>
    <row r="16" spans="1:14" ht="16.5" customHeight="1">
      <c r="A16" s="34" t="s">
        <v>91</v>
      </c>
      <c r="B16" s="121"/>
      <c r="C16" s="121"/>
      <c r="D16" s="121"/>
      <c r="E16" s="52"/>
      <c r="F16" s="55"/>
      <c r="G16" s="55">
        <f>(2.394047+31.047659+4.372992)*2.204622/60</f>
        <v>1.3894519189025998</v>
      </c>
      <c r="H16" s="56"/>
      <c r="I16" s="121"/>
      <c r="J16" s="56">
        <f>5.542274*2000/60</f>
        <v>184.74246666666667</v>
      </c>
      <c r="K16" s="57"/>
      <c r="L16" s="55">
        <f>(18.302084+5638.722)*2.204622/60</f>
        <v>207.85999583527078</v>
      </c>
      <c r="M16" s="55"/>
      <c r="N16" s="56"/>
    </row>
    <row r="17" spans="1:14" ht="16.5" customHeight="1">
      <c r="A17" s="34" t="s">
        <v>92</v>
      </c>
      <c r="B17" s="121"/>
      <c r="C17" s="121"/>
      <c r="D17" s="121"/>
      <c r="E17" s="52"/>
      <c r="F17" s="54"/>
      <c r="G17" s="55">
        <f>(8.096021+19.453759+3.525378)*2.204622/60</f>
        <v>1.1418162830046001</v>
      </c>
      <c r="H17" s="56"/>
      <c r="I17" s="121"/>
      <c r="J17" s="56">
        <f>5.663403*2000/60</f>
        <v>188.78009999999998</v>
      </c>
      <c r="K17" s="57"/>
      <c r="L17" s="55">
        <f>(22.638687+5296.569)*2.204622/60</f>
        <v>195.44737148882191</v>
      </c>
      <c r="M17" s="55"/>
      <c r="N17" s="56"/>
    </row>
    <row r="18" spans="1:14" ht="16.5" customHeight="1">
      <c r="A18" s="34" t="s">
        <v>93</v>
      </c>
      <c r="B18" s="121"/>
      <c r="C18" s="121"/>
      <c r="D18" s="121"/>
      <c r="E18" s="52"/>
      <c r="F18" s="54"/>
      <c r="G18" s="55">
        <f>(1.166549+36.489844+3.682102)*2.204622/60</f>
        <v>1.5189292587315002</v>
      </c>
      <c r="H18" s="56"/>
      <c r="I18" s="121"/>
      <c r="J18" s="56">
        <f>5.258777*2000/60</f>
        <v>175.29256666666666</v>
      </c>
      <c r="K18" s="57"/>
      <c r="L18" s="55">
        <f>(14.336042+2744.522)*2.204622/60</f>
        <v>101.3706522378354</v>
      </c>
      <c r="M18" s="121"/>
      <c r="N18" s="121"/>
    </row>
    <row r="19" spans="1:14" ht="16.5" customHeight="1">
      <c r="A19" s="34" t="s">
        <v>67</v>
      </c>
      <c r="B19" s="121"/>
      <c r="C19" s="121"/>
      <c r="D19" s="121"/>
      <c r="E19" s="52">
        <f>N15</f>
        <v>3252.4879999999998</v>
      </c>
      <c r="F19" s="54"/>
      <c r="G19" s="55">
        <f>SUM(G16:G18)</f>
        <v>4.0501974606387003</v>
      </c>
      <c r="H19" s="56">
        <f>E19+F19+G19</f>
        <v>3256.5381974606385</v>
      </c>
      <c r="I19" s="121"/>
      <c r="J19" s="56">
        <f>SUM(J16:J18)</f>
        <v>548.81513333333328</v>
      </c>
      <c r="K19" s="57">
        <f>M19-L19-J19</f>
        <v>-51.836955434622951</v>
      </c>
      <c r="L19" s="55">
        <f>SUM(L16:L18)</f>
        <v>504.67801956192807</v>
      </c>
      <c r="M19" s="55">
        <f>H19-N19</f>
        <v>1001.6561974606384</v>
      </c>
      <c r="N19" s="56">
        <v>2254.8820000000001</v>
      </c>
    </row>
    <row r="20" spans="1:14" ht="16.5" customHeight="1">
      <c r="A20" s="34" t="s">
        <v>94</v>
      </c>
      <c r="B20" s="121"/>
      <c r="C20" s="121"/>
      <c r="D20" s="121"/>
      <c r="E20" s="52"/>
      <c r="F20" s="54"/>
      <c r="G20" s="55">
        <f>(13.511735+22.972721+5.958844)*2.204622/60</f>
        <v>1.5595238822100002</v>
      </c>
      <c r="H20" s="56"/>
      <c r="I20" s="121"/>
      <c r="J20" s="56">
        <f>5.764867*2000/60</f>
        <v>192.16223333333335</v>
      </c>
      <c r="K20" s="57"/>
      <c r="L20" s="55">
        <f>(18.610925+2552.241)*2.204622/60</f>
        <v>94.462611876622503</v>
      </c>
      <c r="M20" s="55"/>
      <c r="N20" s="56"/>
    </row>
    <row r="21" spans="1:14" ht="16.5" customHeight="1">
      <c r="A21" s="34" t="s">
        <v>95</v>
      </c>
      <c r="B21" s="121"/>
      <c r="C21" s="121"/>
      <c r="D21" s="121"/>
      <c r="E21" s="52"/>
      <c r="F21" s="54"/>
      <c r="G21" s="55">
        <f>(5.570598+10.245373+9.643559)*2.204622/60</f>
        <v>0.93547733246100007</v>
      </c>
      <c r="H21" s="56"/>
      <c r="I21" s="121"/>
      <c r="J21" s="56">
        <f>5.501825*2000/60</f>
        <v>183.39416666666665</v>
      </c>
      <c r="K21" s="57"/>
      <c r="L21" s="55">
        <f>(20.838345+2142.276)*2.204622/60</f>
        <v>79.480824558376497</v>
      </c>
      <c r="M21" s="55"/>
      <c r="N21" s="56"/>
    </row>
    <row r="22" spans="1:14" ht="16.5" customHeight="1">
      <c r="A22" s="34" t="s">
        <v>96</v>
      </c>
      <c r="B22" s="121"/>
      <c r="C22" s="121"/>
      <c r="D22" s="121"/>
      <c r="E22" s="52"/>
      <c r="F22" s="54"/>
      <c r="G22" s="55">
        <f>(2.133054+19.16263+9.57398)*2.204622/60</f>
        <v>1.1342656731168002</v>
      </c>
      <c r="H22" s="56"/>
      <c r="I22" s="121"/>
      <c r="J22" s="56">
        <f>5.386534*2000/60</f>
        <v>179.55113333333335</v>
      </c>
      <c r="K22" s="57"/>
      <c r="L22" s="55">
        <f>(21.557089+1943.847)*2.204622/60</f>
        <v>72.216218224989291</v>
      </c>
      <c r="M22" s="55"/>
      <c r="N22" s="56"/>
    </row>
    <row r="23" spans="1:14" ht="16.5" customHeight="1">
      <c r="A23" s="34" t="s">
        <v>68</v>
      </c>
      <c r="B23" s="37"/>
      <c r="C23" s="37"/>
      <c r="D23" s="37"/>
      <c r="E23" s="52">
        <f>N19</f>
        <v>2254.8820000000001</v>
      </c>
      <c r="F23" s="58"/>
      <c r="G23" s="55">
        <f>SUM(G20:G22)</f>
        <v>3.6292668877878005</v>
      </c>
      <c r="H23" s="56">
        <f>E23+F23+G23</f>
        <v>2258.5112668877878</v>
      </c>
      <c r="I23" s="56"/>
      <c r="J23" s="56">
        <f>SUM(J20:J22)</f>
        <v>555.10753333333332</v>
      </c>
      <c r="K23" s="59">
        <f>M23-L23-J23</f>
        <v>75.850078894466151</v>
      </c>
      <c r="L23" s="55">
        <f>SUM(L20:L22)</f>
        <v>246.15965465998829</v>
      </c>
      <c r="M23" s="55">
        <f>H23-N23</f>
        <v>877.11726688778776</v>
      </c>
      <c r="N23" s="56">
        <v>1381.394</v>
      </c>
    </row>
    <row r="24" spans="1:14" ht="16.5" customHeight="1">
      <c r="A24" s="34" t="s">
        <v>152</v>
      </c>
      <c r="B24" s="37"/>
      <c r="C24" s="37"/>
      <c r="D24" s="37"/>
      <c r="E24" s="52"/>
      <c r="F24" s="58"/>
      <c r="G24" s="55">
        <f>(2.390293+33.764567+8.787479)*2.204622/60</f>
        <v>1.6513478215142998</v>
      </c>
      <c r="H24" s="56"/>
      <c r="I24" s="56"/>
      <c r="J24" s="56">
        <f>5.318419*2000/60</f>
        <v>177.28063333333333</v>
      </c>
      <c r="K24" s="59"/>
      <c r="L24" s="55">
        <f>(21.146851+1778.049)*2.204622/60</f>
        <v>66.109112590388705</v>
      </c>
      <c r="M24" s="55"/>
      <c r="N24" s="56"/>
    </row>
    <row r="25" spans="1:14" ht="16.5" customHeight="1">
      <c r="A25" s="34" t="s">
        <v>153</v>
      </c>
      <c r="B25" s="37"/>
      <c r="C25" s="37"/>
      <c r="D25" s="37"/>
      <c r="E25" s="52"/>
      <c r="F25" s="58"/>
      <c r="G25" s="55">
        <f>(2.3824143+38.020274+7.574612)*2.204622/60</f>
        <v>1.7628635290331103</v>
      </c>
      <c r="H25" s="56"/>
      <c r="I25" s="56"/>
      <c r="J25" s="56">
        <f>5.535196*2000/60</f>
        <v>184.50653333333332</v>
      </c>
      <c r="K25" s="59"/>
      <c r="L25" s="55">
        <f>(24.132099+2192.059)*2.204622/60</f>
        <v>81.431060884326314</v>
      </c>
      <c r="M25" s="55"/>
      <c r="N25" s="56"/>
    </row>
    <row r="26" spans="1:14" ht="16.5" customHeight="1">
      <c r="A26" s="34" t="s">
        <v>154</v>
      </c>
      <c r="B26" s="37"/>
      <c r="C26" s="37"/>
      <c r="D26" s="37"/>
      <c r="E26" s="52"/>
      <c r="F26" s="58"/>
      <c r="G26" s="55">
        <f>(0.701049+12.986497+5.864772)*2.204622/60</f>
        <v>0.71842450689659998</v>
      </c>
      <c r="H26" s="56"/>
      <c r="I26" s="56"/>
      <c r="J26" s="56">
        <f>5.24023*2000/60</f>
        <v>174.67433333333335</v>
      </c>
      <c r="K26" s="59"/>
      <c r="L26" s="55">
        <f>(30.796122+4676.896)*2.204622/60</f>
        <v>172.97802702313138</v>
      </c>
      <c r="M26" s="55"/>
      <c r="N26" s="56"/>
    </row>
    <row r="27" spans="1:14" ht="16.5" customHeight="1">
      <c r="A27" s="34" t="s">
        <v>157</v>
      </c>
      <c r="B27" s="37"/>
      <c r="C27" s="37"/>
      <c r="D27" s="37"/>
      <c r="E27" s="52">
        <f>N23</f>
        <v>1381.394</v>
      </c>
      <c r="F27" s="58"/>
      <c r="G27" s="55">
        <f>SUM(G24:G26)</f>
        <v>4.1326358574440096</v>
      </c>
      <c r="H27" s="56">
        <f>E27+F27+G27</f>
        <v>1385.526635857444</v>
      </c>
      <c r="I27" s="56"/>
      <c r="J27" s="56">
        <f>SUM(J24:J26)</f>
        <v>536.4615</v>
      </c>
      <c r="K27" s="59">
        <f>M27-L27-J27</f>
        <v>4.005935359597629</v>
      </c>
      <c r="L27" s="55">
        <f>SUM(L24:L26)</f>
        <v>320.51820049784635</v>
      </c>
      <c r="M27" s="55">
        <f>H27-N27</f>
        <v>860.98563585744398</v>
      </c>
      <c r="N27" s="56">
        <v>524.54100000000005</v>
      </c>
    </row>
    <row r="28" spans="1:14" ht="16.5" customHeight="1">
      <c r="A28" s="34" t="s">
        <v>3</v>
      </c>
      <c r="B28" s="121"/>
      <c r="C28" s="121"/>
      <c r="D28" s="121"/>
      <c r="E28" s="52"/>
      <c r="F28" s="54">
        <f>F15</f>
        <v>3551.9079999999999</v>
      </c>
      <c r="G28" s="55">
        <f>G15+G19+G23+G27</f>
        <v>15.399722739414511</v>
      </c>
      <c r="H28" s="56">
        <f>E15+F28+G28</f>
        <v>4476.3597227394148</v>
      </c>
      <c r="I28" s="121"/>
      <c r="J28" s="56">
        <f>J15+J19+J23+J27</f>
        <v>2164.5542333333333</v>
      </c>
      <c r="K28" s="59">
        <f>K15+K19+K23+K27</f>
        <v>105.24171692492666</v>
      </c>
      <c r="L28" s="55">
        <f>L15+L19+L23+L27</f>
        <v>1682.0227724811543</v>
      </c>
      <c r="M28" s="55">
        <f>M15+M19+M23+M27</f>
        <v>3951.8187227394142</v>
      </c>
      <c r="N28" s="56"/>
    </row>
    <row r="29" spans="1:14" ht="16.5" customHeight="1">
      <c r="A29" s="34"/>
      <c r="B29" s="121"/>
      <c r="C29" s="121"/>
      <c r="D29" s="121"/>
      <c r="E29" s="52"/>
      <c r="F29" s="54"/>
      <c r="G29" s="55"/>
      <c r="H29" s="56"/>
      <c r="I29" s="121"/>
      <c r="J29" s="56"/>
      <c r="K29" s="59"/>
      <c r="L29" s="55"/>
      <c r="M29" s="55"/>
      <c r="N29" s="56"/>
    </row>
    <row r="30" spans="1:14" ht="16.5" customHeight="1">
      <c r="A30" s="34" t="s">
        <v>155</v>
      </c>
      <c r="B30" s="121"/>
      <c r="C30" s="121"/>
      <c r="D30" s="121"/>
      <c r="E30" s="52"/>
      <c r="F30" s="54"/>
      <c r="G30" s="55"/>
      <c r="H30" s="56"/>
      <c r="I30" s="121"/>
      <c r="J30" s="56"/>
      <c r="K30" s="59"/>
      <c r="L30" s="55"/>
      <c r="M30" s="55"/>
      <c r="N30" s="56"/>
    </row>
    <row r="31" spans="1:14" ht="16.5" customHeight="1">
      <c r="A31" s="37" t="s">
        <v>86</v>
      </c>
      <c r="B31" s="121"/>
      <c r="C31" s="121"/>
      <c r="D31" s="121"/>
      <c r="E31" s="52"/>
      <c r="F31" s="54"/>
      <c r="G31" s="55">
        <f>(0.991907+40.308831+3.223895)*2.204622/60</f>
        <v>1.6359997575620999</v>
      </c>
      <c r="I31" s="121"/>
      <c r="J31" s="56">
        <f>5.131665*2000/60</f>
        <v>171.05549999999999</v>
      </c>
      <c r="K31" s="57"/>
      <c r="L31" s="55">
        <f>(34.30443+7142.853)*2.204622/60</f>
        <v>263.71531946069103</v>
      </c>
      <c r="M31" s="55"/>
      <c r="N31" s="56"/>
    </row>
    <row r="32" spans="1:14" ht="16.5" customHeight="1">
      <c r="A32" s="37" t="s">
        <v>88</v>
      </c>
      <c r="B32" s="121"/>
      <c r="C32" s="121"/>
      <c r="D32" s="121"/>
      <c r="E32" s="132"/>
      <c r="F32" s="54"/>
      <c r="G32" s="55">
        <f>(2.771319+17.330953+4.808326)*2.204622/60</f>
        <v>0.91530753973260004</v>
      </c>
      <c r="I32" s="121"/>
      <c r="J32" s="56">
        <f>5.897079*2000/60</f>
        <v>196.5693</v>
      </c>
      <c r="K32" s="57"/>
      <c r="L32" s="55">
        <f>(44.27145+11528.604)*2.204622/60</f>
        <v>425.23026367216499</v>
      </c>
      <c r="M32" s="55"/>
      <c r="N32" s="56"/>
    </row>
    <row r="33" spans="1:73" ht="16.5" customHeight="1">
      <c r="A33" s="37" t="s">
        <v>90</v>
      </c>
      <c r="B33" s="121"/>
      <c r="C33" s="121"/>
      <c r="D33" s="121"/>
      <c r="E33" s="132"/>
      <c r="F33" s="54"/>
      <c r="G33" s="55">
        <f>(3.096115+4.442072+4.893559)*2.204622/60</f>
        <v>0.45678834550020003</v>
      </c>
      <c r="I33" s="121"/>
      <c r="J33" s="56">
        <f>5.731207*2000/60</f>
        <v>191.04023333333333</v>
      </c>
      <c r="K33" s="57"/>
      <c r="L33" s="55">
        <f>(47.735577+11048.716)*2.204622/60</f>
        <v>407.7246878098149</v>
      </c>
      <c r="M33" s="55"/>
      <c r="N33" s="56"/>
    </row>
    <row r="34" spans="1:73" ht="16.5" customHeight="1">
      <c r="A34" s="37" t="s">
        <v>66</v>
      </c>
      <c r="B34" s="121"/>
      <c r="C34" s="121"/>
      <c r="D34" s="121"/>
      <c r="E34" s="52">
        <f>N27</f>
        <v>524.54100000000005</v>
      </c>
      <c r="F34" s="54">
        <v>4135.4769999999999</v>
      </c>
      <c r="G34" s="55">
        <f>G31+G32+G33</f>
        <v>3.0080956427948999</v>
      </c>
      <c r="H34" s="56">
        <f>E34+F34+G34</f>
        <v>4663.0260956427946</v>
      </c>
      <c r="I34" s="121"/>
      <c r="J34" s="56">
        <f>J31+J32+J33</f>
        <v>558.66503333333333</v>
      </c>
      <c r="K34" s="57">
        <f>M34-L34-J34</f>
        <v>74.368791366790333</v>
      </c>
      <c r="L34" s="55">
        <f>L31+L32+L33</f>
        <v>1096.6702709426709</v>
      </c>
      <c r="M34" s="55">
        <f>H34-N34</f>
        <v>1729.7040956427945</v>
      </c>
      <c r="N34" s="56">
        <v>2933.3220000000001</v>
      </c>
    </row>
    <row r="35" spans="1:73" ht="16.8" customHeight="1">
      <c r="A35" s="34" t="s">
        <v>51</v>
      </c>
      <c r="B35" s="121"/>
      <c r="C35" s="121"/>
      <c r="D35" s="121"/>
      <c r="E35" s="52"/>
      <c r="F35" s="55"/>
      <c r="G35" s="55">
        <f>(2.581799+15.016846+5.826621)*2.204622/60</f>
        <v>0.86073094632419989</v>
      </c>
      <c r="H35" s="56"/>
      <c r="I35" s="121"/>
      <c r="J35" s="56">
        <f>5.812997*2000/60</f>
        <v>193.76656666666668</v>
      </c>
      <c r="K35" s="57"/>
      <c r="L35" s="55">
        <f>(53.015482+10764.676)*2.204622/60</f>
        <v>397.48201050716341</v>
      </c>
      <c r="M35" s="55"/>
      <c r="N35" s="56"/>
    </row>
    <row r="36" spans="1:73" ht="16.8" customHeight="1">
      <c r="A36" s="34" t="s">
        <v>52</v>
      </c>
      <c r="B36" s="121"/>
      <c r="C36" s="121"/>
      <c r="D36" s="121"/>
      <c r="E36" s="52"/>
      <c r="F36" s="55"/>
      <c r="G36" s="55">
        <f>(2.3331+4.4056+12.8993)*2.204622/60</f>
        <v>0.72157278059999996</v>
      </c>
      <c r="H36" s="56"/>
      <c r="I36" s="121"/>
      <c r="J36" s="56">
        <f>5.89536*2000/60</f>
        <v>196.51200000000003</v>
      </c>
      <c r="K36" s="57"/>
      <c r="L36" s="55">
        <f>(55.748622+8773.551)*2.204622/60</f>
        <v>324.42113652088136</v>
      </c>
      <c r="M36" s="55"/>
      <c r="N36" s="56"/>
    </row>
    <row r="37" spans="1:73" ht="16.5" customHeight="1">
      <c r="A37" s="33" t="s">
        <v>156</v>
      </c>
      <c r="B37" s="119"/>
      <c r="C37" s="119"/>
      <c r="D37" s="119"/>
      <c r="E37" s="136"/>
      <c r="F37" s="137">
        <f>F34</f>
        <v>4135.4769999999999</v>
      </c>
      <c r="G37" s="61">
        <f>G34+G35+G36</f>
        <v>4.5903993697190995</v>
      </c>
      <c r="H37" s="120">
        <f>E34+F37+G37</f>
        <v>4664.6083993697193</v>
      </c>
      <c r="I37" s="119"/>
      <c r="J37" s="120">
        <f>J34+J35+J36</f>
        <v>948.94360000000006</v>
      </c>
      <c r="K37" s="138"/>
      <c r="L37" s="61">
        <f>L34+L35+K36</f>
        <v>1494.1522814498344</v>
      </c>
      <c r="M37" s="61"/>
      <c r="N37" s="139"/>
    </row>
    <row r="38" spans="1:73" ht="16.5" customHeight="1">
      <c r="A38" s="62" t="s">
        <v>143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3"/>
      <c r="M38" s="37"/>
      <c r="N38" s="37"/>
    </row>
    <row r="39" spans="1:73" ht="16.5" customHeight="1">
      <c r="A39" s="34" t="s">
        <v>247</v>
      </c>
      <c r="B39" s="34"/>
      <c r="C39" s="34"/>
      <c r="D39" s="3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73" ht="16.5" customHeight="1">
      <c r="A40" s="65" t="s">
        <v>64</v>
      </c>
      <c r="B40" s="34"/>
      <c r="C40" s="34"/>
      <c r="D40" s="3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16.5" customHeight="1">
      <c r="A41" s="38" t="s">
        <v>20</v>
      </c>
      <c r="B41" s="66">
        <f ca="1">NOW()</f>
        <v>44266.328958333332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>
      <c r="F45" s="1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</sheetData>
  <dataConsolidate link="1"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6:K7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9"/>
  <sheetViews>
    <sheetView showGridLines="0" topLeftCell="A13" zoomScaleNormal="100" workbookViewId="0">
      <selection activeCell="C26" sqref="C26:C29"/>
    </sheetView>
  </sheetViews>
  <sheetFormatPr defaultRowHeight="13.2"/>
  <cols>
    <col min="1" max="1" width="14.77734375" customWidth="1"/>
    <col min="2" max="2" width="11.77734375" customWidth="1"/>
    <col min="3" max="3" width="10.77734375" customWidth="1"/>
    <col min="4" max="4" width="7.77734375" customWidth="1"/>
    <col min="5" max="5" width="10.77734375" customWidth="1"/>
    <col min="6" max="6" width="1.77734375" customWidth="1"/>
    <col min="7" max="10" width="10.77734375" customWidth="1"/>
    <col min="11" max="11" width="7.77734375" customWidth="1"/>
  </cols>
  <sheetData>
    <row r="1" spans="1:12" ht="13.8">
      <c r="A1" s="33" t="s">
        <v>137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13.8">
      <c r="A2" s="34"/>
      <c r="B2" s="192" t="s">
        <v>0</v>
      </c>
      <c r="C2" s="192"/>
      <c r="D2" s="192"/>
      <c r="E2" s="192"/>
      <c r="F2" s="37"/>
      <c r="G2" s="192" t="s">
        <v>19</v>
      </c>
      <c r="H2" s="192"/>
      <c r="I2" s="192"/>
      <c r="J2" s="34"/>
    </row>
    <row r="3" spans="1:12" ht="13.8">
      <c r="A3" s="34" t="s">
        <v>69</v>
      </c>
      <c r="B3" s="36" t="s">
        <v>8</v>
      </c>
      <c r="C3" s="38"/>
      <c r="D3" s="38"/>
      <c r="E3" s="38"/>
      <c r="F3" s="38"/>
      <c r="G3" s="38"/>
      <c r="H3" s="38"/>
      <c r="I3" s="38"/>
      <c r="J3" s="36" t="s">
        <v>28</v>
      </c>
    </row>
    <row r="4" spans="1:12" ht="13.8">
      <c r="A4" s="39" t="s">
        <v>70</v>
      </c>
      <c r="B4" s="41" t="s">
        <v>27</v>
      </c>
      <c r="C4" s="41" t="s">
        <v>1</v>
      </c>
      <c r="D4" s="41" t="s">
        <v>2</v>
      </c>
      <c r="E4" s="43" t="s">
        <v>26</v>
      </c>
      <c r="F4" s="42"/>
      <c r="G4" s="41" t="s">
        <v>29</v>
      </c>
      <c r="H4" s="41" t="s">
        <v>25</v>
      </c>
      <c r="I4" s="41" t="s">
        <v>26</v>
      </c>
      <c r="J4" s="41" t="s">
        <v>79</v>
      </c>
    </row>
    <row r="5" spans="1:12" ht="14.4">
      <c r="A5" s="34"/>
      <c r="B5" s="193" t="s">
        <v>87</v>
      </c>
      <c r="C5" s="193"/>
      <c r="D5" s="193"/>
      <c r="E5" s="193"/>
      <c r="F5" s="193"/>
      <c r="G5" s="193"/>
      <c r="H5" s="193"/>
      <c r="I5" s="193"/>
      <c r="J5" s="193"/>
    </row>
    <row r="6" spans="1:12" ht="16.2">
      <c r="A6" s="34" t="s">
        <v>130</v>
      </c>
      <c r="B6" s="67">
        <v>555.42399999999998</v>
      </c>
      <c r="C6" s="68">
        <v>48813.759999999995</v>
      </c>
      <c r="D6" s="68">
        <v>683.345988757908</v>
      </c>
      <c r="E6" s="48">
        <f>SUM(B6:D6)</f>
        <v>50052.529988757902</v>
      </c>
      <c r="F6" s="68"/>
      <c r="G6" s="68">
        <f>I6-H6</f>
        <v>36212.450812999567</v>
      </c>
      <c r="H6" s="68">
        <v>13438.064175758334</v>
      </c>
      <c r="I6" s="68">
        <f>E6-J6</f>
        <v>49650.514988757903</v>
      </c>
      <c r="J6" s="68">
        <v>402.01499999999999</v>
      </c>
    </row>
    <row r="7" spans="1:12" ht="16.2">
      <c r="A7" s="34" t="s">
        <v>134</v>
      </c>
      <c r="B7" s="67">
        <f>J6</f>
        <v>402.01499999999999</v>
      </c>
      <c r="C7" s="68">
        <f>C23</f>
        <v>51100.43</v>
      </c>
      <c r="D7" s="68">
        <f>D23</f>
        <v>639.279164260926</v>
      </c>
      <c r="E7" s="48">
        <f>SUM(B7:D7)</f>
        <v>52141.724164260922</v>
      </c>
      <c r="F7" s="68"/>
      <c r="G7" s="68">
        <f>I7-H7</f>
        <v>37723.484000376411</v>
      </c>
      <c r="H7" s="68">
        <f>H23</f>
        <v>14076.904163884506</v>
      </c>
      <c r="I7" s="68">
        <f>E7-J7</f>
        <v>51800.388164260919</v>
      </c>
      <c r="J7" s="68">
        <f>J22</f>
        <v>341.33600000000001</v>
      </c>
    </row>
    <row r="8" spans="1:12" ht="16.2">
      <c r="A8" s="34" t="s">
        <v>146</v>
      </c>
      <c r="B8" s="67">
        <f>J7</f>
        <v>341.33600000000001</v>
      </c>
      <c r="C8" s="68">
        <v>51959</v>
      </c>
      <c r="D8" s="68">
        <v>600</v>
      </c>
      <c r="E8" s="48">
        <f>SUM(B8:D8)</f>
        <v>52900.336000000003</v>
      </c>
      <c r="F8" s="68"/>
      <c r="G8" s="68">
        <f>I8-H8</f>
        <v>38300.336000000003</v>
      </c>
      <c r="H8" s="68">
        <v>14250</v>
      </c>
      <c r="I8" s="68">
        <f>E8-J8</f>
        <v>52550.336000000003</v>
      </c>
      <c r="J8" s="68">
        <v>350</v>
      </c>
    </row>
    <row r="9" spans="1:12" ht="13.8">
      <c r="A9" s="34"/>
      <c r="B9" s="69"/>
      <c r="C9" s="69"/>
      <c r="D9" s="69"/>
      <c r="E9" s="69"/>
      <c r="F9" s="69"/>
      <c r="G9" s="68"/>
      <c r="H9" s="69"/>
      <c r="I9" s="69"/>
      <c r="J9" s="69"/>
    </row>
    <row r="10" spans="1:12" ht="15.6">
      <c r="A10" s="37" t="s">
        <v>135</v>
      </c>
      <c r="B10" s="71"/>
      <c r="C10" s="55"/>
      <c r="D10" s="55"/>
      <c r="E10" s="55"/>
      <c r="F10" s="55"/>
      <c r="G10" s="55"/>
      <c r="H10" s="55"/>
      <c r="I10" s="55"/>
      <c r="J10" s="55"/>
      <c r="K10" s="18"/>
      <c r="L10" s="18"/>
    </row>
    <row r="11" spans="1:12" ht="15.6">
      <c r="A11" s="37" t="s">
        <v>49</v>
      </c>
      <c r="B11" s="71">
        <f>360.387+41.628</f>
        <v>402.01499999999999</v>
      </c>
      <c r="C11" s="55">
        <f>4105.453+276.379</f>
        <v>4381.8320000000003</v>
      </c>
      <c r="D11" s="55">
        <f>(34717.207+8327+125.964+103.856)*2.204622/2000</f>
        <v>47.701435976397008</v>
      </c>
      <c r="E11" s="55">
        <f>SUM(B11:D11)</f>
        <v>4831.5484359763977</v>
      </c>
      <c r="F11" s="70"/>
      <c r="G11" s="72">
        <f t="shared" ref="G11:G22" si="0">I11-H11</f>
        <v>3326.9284705422137</v>
      </c>
      <c r="H11" s="72">
        <f>((785.683617+14.393+233.530927))*(2.204622/2)</f>
        <v>1139.3569654341841</v>
      </c>
      <c r="I11" s="70">
        <f t="shared" ref="I11:I22" si="1">E11-J11</f>
        <v>4466.2854359763978</v>
      </c>
      <c r="J11" s="72">
        <f>335.087+30.176</f>
        <v>365.26299999999998</v>
      </c>
      <c r="K11" s="18"/>
      <c r="L11" s="18"/>
    </row>
    <row r="12" spans="1:12" ht="15.6">
      <c r="A12" s="37" t="s">
        <v>50</v>
      </c>
      <c r="B12" s="71">
        <f t="shared" ref="B12:B22" si="2">J11</f>
        <v>365.26299999999998</v>
      </c>
      <c r="C12" s="55">
        <f>3855.827+255.945</f>
        <v>4111.7719999999999</v>
      </c>
      <c r="D12" s="55">
        <f>(29823.451+2961+130.165+90.108)*2.204622/2000</f>
        <v>36.381470317164009</v>
      </c>
      <c r="E12" s="55">
        <f t="shared" ref="E12:E18" si="3">SUM(B12:D12)</f>
        <v>4513.4164703171637</v>
      </c>
      <c r="F12" s="55"/>
      <c r="G12" s="72">
        <f t="shared" si="0"/>
        <v>2798.9963823138437</v>
      </c>
      <c r="H12" s="72">
        <f>((866.134196+3.458+261.673924))*(2.204622/2)</f>
        <v>1247.00708800332</v>
      </c>
      <c r="I12" s="70">
        <f t="shared" si="1"/>
        <v>4046.0034703171636</v>
      </c>
      <c r="J12" s="55">
        <f>426.332+41.081</f>
        <v>467.41300000000001</v>
      </c>
      <c r="K12" s="18"/>
      <c r="L12" s="18"/>
    </row>
    <row r="13" spans="1:12" ht="15.6">
      <c r="A13" s="37" t="s">
        <v>51</v>
      </c>
      <c r="B13" s="71">
        <f t="shared" si="2"/>
        <v>467.41300000000001</v>
      </c>
      <c r="C13" s="55">
        <f>4062.929+274.643</f>
        <v>4337.5720000000001</v>
      </c>
      <c r="D13" s="55">
        <f>(33710.056+13585+182.009+72.517)*2.204622/2000</f>
        <v>52.414427284001995</v>
      </c>
      <c r="E13" s="55">
        <f t="shared" si="3"/>
        <v>4857.3994272840027</v>
      </c>
      <c r="F13" s="55"/>
      <c r="G13" s="72">
        <f t="shared" si="0"/>
        <v>3384.5441774417495</v>
      </c>
      <c r="H13" s="72">
        <f>((764.679901+9.721+219.677222))*(2.204622/2)</f>
        <v>1095.7832498422531</v>
      </c>
      <c r="I13" s="70">
        <f t="shared" si="1"/>
        <v>4480.3274272840026</v>
      </c>
      <c r="J13" s="55">
        <f>342.085+34.987</f>
        <v>377.072</v>
      </c>
      <c r="K13" s="18"/>
      <c r="L13" s="18"/>
    </row>
    <row r="14" spans="1:12" ht="15.6">
      <c r="A14" s="37" t="s">
        <v>52</v>
      </c>
      <c r="B14" s="71">
        <f t="shared" si="2"/>
        <v>377.072</v>
      </c>
      <c r="C14" s="55">
        <f>4144.355+281.394</f>
        <v>4425.7489999999998</v>
      </c>
      <c r="D14" s="55">
        <f>(50090.882+4913+179.878+155.261)*2.204622/2000</f>
        <v>61.000811577530996</v>
      </c>
      <c r="E14" s="55">
        <f t="shared" si="3"/>
        <v>4863.8218115775308</v>
      </c>
      <c r="F14" s="55"/>
      <c r="G14" s="72">
        <f t="shared" si="0"/>
        <v>3435.4339578735735</v>
      </c>
      <c r="H14" s="72">
        <f>((709.103359+18.259+255.531628))*(2.204622/2)</f>
        <v>1083.454853703957</v>
      </c>
      <c r="I14" s="70">
        <f t="shared" si="1"/>
        <v>4518.8888115775308</v>
      </c>
      <c r="J14" s="55">
        <f>302.321+42.612</f>
        <v>344.93300000000005</v>
      </c>
      <c r="K14" s="18"/>
      <c r="L14" s="18"/>
    </row>
    <row r="15" spans="1:12" ht="15.6">
      <c r="A15" s="37" t="s">
        <v>53</v>
      </c>
      <c r="B15" s="71">
        <f t="shared" si="2"/>
        <v>344.93300000000005</v>
      </c>
      <c r="C15" s="55">
        <f>3863.475+259.153</f>
        <v>4122.6279999999997</v>
      </c>
      <c r="D15" s="55">
        <f>(41456.755+3685+293.02+207.359)*2.204622/2000</f>
        <v>50.311826371673988</v>
      </c>
      <c r="E15" s="55">
        <f t="shared" si="3"/>
        <v>4517.8728263716739</v>
      </c>
      <c r="F15" s="55"/>
      <c r="G15" s="72">
        <f t="shared" si="0"/>
        <v>2687.3697811372549</v>
      </c>
      <c r="H15" s="72">
        <f>((1026.306442+5.115+227.891987))*(2.204622/2)</f>
        <v>1388.155045234419</v>
      </c>
      <c r="I15" s="70">
        <f t="shared" si="1"/>
        <v>4075.524826371674</v>
      </c>
      <c r="J15" s="55">
        <f>396.511+45.837</f>
        <v>442.34800000000001</v>
      </c>
      <c r="K15" s="18"/>
      <c r="L15" s="18"/>
    </row>
    <row r="16" spans="1:12" ht="15.6">
      <c r="A16" s="37" t="s">
        <v>54</v>
      </c>
      <c r="B16" s="71">
        <f t="shared" si="2"/>
        <v>442.34800000000001</v>
      </c>
      <c r="C16" s="55">
        <f>4234.605+283.308</f>
        <v>4517.9129999999996</v>
      </c>
      <c r="D16" s="55">
        <f>(52975.114+4417+49.514+310.515)*2.204622/2000</f>
        <v>63.660822502473003</v>
      </c>
      <c r="E16" s="55">
        <f t="shared" si="3"/>
        <v>5023.9218225024724</v>
      </c>
      <c r="F16" s="55"/>
      <c r="G16" s="72">
        <f t="shared" si="0"/>
        <v>3277.7267723843088</v>
      </c>
      <c r="H16" s="72">
        <f>((966.396996+5.084+236.114728))*(2.204622/2)</f>
        <v>1331.1460501181639</v>
      </c>
      <c r="I16" s="70">
        <f t="shared" si="1"/>
        <v>4608.8728225024724</v>
      </c>
      <c r="J16" s="55">
        <f>368.552+46.497</f>
        <v>415.04900000000004</v>
      </c>
      <c r="K16" s="18"/>
      <c r="L16" s="18"/>
    </row>
    <row r="17" spans="1:12" ht="15.6">
      <c r="A17" s="37" t="s">
        <v>55</v>
      </c>
      <c r="B17" s="71">
        <f t="shared" si="2"/>
        <v>415.04900000000004</v>
      </c>
      <c r="C17" s="55">
        <f>4039.265+272.912</f>
        <v>4312.1769999999997</v>
      </c>
      <c r="D17" s="55">
        <f>(43596.712+4455+129.156+140.58)*2.204622/2000</f>
        <v>53.265263666328003</v>
      </c>
      <c r="E17" s="55">
        <f t="shared" si="3"/>
        <v>4780.4912636663275</v>
      </c>
      <c r="F17" s="55"/>
      <c r="G17" s="72">
        <f t="shared" si="0"/>
        <v>3177.7169864129364</v>
      </c>
      <c r="H17" s="72">
        <f>((860.759415+13.997+228.907866))*(2.204622/2)</f>
        <v>1216.5812772533909</v>
      </c>
      <c r="I17" s="70">
        <f t="shared" si="1"/>
        <v>4394.2982636663273</v>
      </c>
      <c r="J17" s="55">
        <f>341.681+44.512</f>
        <v>386.19299999999998</v>
      </c>
      <c r="K17" s="18"/>
      <c r="L17" s="18"/>
    </row>
    <row r="18" spans="1:12" ht="15.6">
      <c r="A18" s="37" t="s">
        <v>56</v>
      </c>
      <c r="B18" s="71">
        <f t="shared" si="2"/>
        <v>386.19299999999998</v>
      </c>
      <c r="C18" s="55">
        <f>3970.047+270.933</f>
        <v>4240.9799999999996</v>
      </c>
      <c r="D18" s="55">
        <f>(37305.065+3502+57.044+184.091)*2.204622/2000</f>
        <v>45.247882390200004</v>
      </c>
      <c r="E18" s="55">
        <f t="shared" si="3"/>
        <v>4672.4208823901999</v>
      </c>
      <c r="F18" s="55"/>
      <c r="G18" s="72">
        <f t="shared" si="0"/>
        <v>3079.8223548584401</v>
      </c>
      <c r="H18" s="72">
        <f>((740.918471+16.721+235.502689))*(2.204622/2)</f>
        <v>1094.7515275317601</v>
      </c>
      <c r="I18" s="70">
        <f t="shared" si="1"/>
        <v>4174.5738823902002</v>
      </c>
      <c r="J18" s="55">
        <f>442.173+55.674</f>
        <v>497.84699999999998</v>
      </c>
      <c r="K18" s="18"/>
      <c r="L18" s="18"/>
    </row>
    <row r="19" spans="1:12" ht="15.6">
      <c r="A19" s="37" t="s">
        <v>57</v>
      </c>
      <c r="B19" s="71">
        <f t="shared" si="2"/>
        <v>497.84699999999998</v>
      </c>
      <c r="C19" s="55">
        <f>3904.725+262.751</f>
        <v>4167.4759999999997</v>
      </c>
      <c r="D19" s="55">
        <f>(33413.436+2627+130.744+121.582)*2.204622/2000</f>
        <v>40.005910772982006</v>
      </c>
      <c r="E19" s="55">
        <f>SUM(B19:D19)</f>
        <v>4705.3289107729815</v>
      </c>
      <c r="F19" s="55"/>
      <c r="G19" s="72">
        <f t="shared" si="0"/>
        <v>3062.0751743096025</v>
      </c>
      <c r="H19" s="72">
        <f>((823.744033+10.41+237.186756))*(2.204622/2)</f>
        <v>1180.9507364633789</v>
      </c>
      <c r="I19" s="70">
        <f t="shared" si="1"/>
        <v>4243.0259107729817</v>
      </c>
      <c r="J19" s="55">
        <f>420.426+41.877</f>
        <v>462.303</v>
      </c>
      <c r="K19" s="18"/>
      <c r="L19" s="18"/>
    </row>
    <row r="20" spans="1:12" ht="15.6">
      <c r="A20" s="37" t="s">
        <v>59</v>
      </c>
      <c r="B20" s="71">
        <f t="shared" si="2"/>
        <v>462.303</v>
      </c>
      <c r="C20" s="55">
        <f>4080.746+280.424</f>
        <v>4361.17</v>
      </c>
      <c r="D20" s="55">
        <f>(47678.67+3348+387.614+915.017)*2.204622/2000</f>
        <v>57.683164114611003</v>
      </c>
      <c r="E20" s="55">
        <f>SUM(B20:D20)</f>
        <v>4881.1561641146109</v>
      </c>
      <c r="F20" s="55"/>
      <c r="G20" s="72">
        <f t="shared" si="0"/>
        <v>3284.6331330738053</v>
      </c>
      <c r="H20" s="72">
        <f>((790.336731+7.915+241.385024))*(2.204622/2)</f>
        <v>1146.0030310408051</v>
      </c>
      <c r="I20" s="70">
        <f t="shared" si="1"/>
        <v>4430.6361641146104</v>
      </c>
      <c r="J20" s="55">
        <f>411.925+38.595</f>
        <v>450.52</v>
      </c>
      <c r="K20" s="18"/>
      <c r="L20" s="18"/>
    </row>
    <row r="21" spans="1:12" ht="15.6">
      <c r="A21" s="37" t="s">
        <v>60</v>
      </c>
      <c r="B21" s="71">
        <f t="shared" si="2"/>
        <v>450.52</v>
      </c>
      <c r="C21" s="55">
        <f>3851.205+260.54</f>
        <v>4111.7449999999999</v>
      </c>
      <c r="D21" s="55">
        <f>(45234.399+8392+185.404+1077.226)*2.204622/2000</f>
        <v>60.504780446019005</v>
      </c>
      <c r="E21" s="55">
        <f>SUM(B21:D21)</f>
        <v>4622.7697804460186</v>
      </c>
      <c r="F21" s="55"/>
      <c r="G21" s="72">
        <f t="shared" si="0"/>
        <v>3106.233034962208</v>
      </c>
      <c r="H21" s="72">
        <f>((748.764091+13.463+231.53941))*(2.204622/2)</f>
        <v>1095.4397454838111</v>
      </c>
      <c r="I21" s="70">
        <f t="shared" si="1"/>
        <v>4201.6727804460188</v>
      </c>
      <c r="J21" s="55">
        <f>388.138+32.959</f>
        <v>421.09699999999998</v>
      </c>
      <c r="K21" s="18"/>
      <c r="L21" s="18"/>
    </row>
    <row r="22" spans="1:12" ht="15.6">
      <c r="A22" s="37" t="s">
        <v>62</v>
      </c>
      <c r="B22" s="71">
        <f t="shared" si="2"/>
        <v>421.09699999999998</v>
      </c>
      <c r="C22" s="55">
        <f>3754.168+255.248</f>
        <v>4009.4160000000002</v>
      </c>
      <c r="D22" s="55">
        <f>(60244.927+3644+284.761+328.407)*2.204622/2000</f>
        <v>71.101368841544996</v>
      </c>
      <c r="E22" s="55">
        <f>SUM(B22:D22)</f>
        <v>4501.614368841545</v>
      </c>
      <c r="F22" s="55"/>
      <c r="G22" s="72">
        <f t="shared" si="0"/>
        <v>3102.0037750664815</v>
      </c>
      <c r="H22" s="72">
        <f>((724.522648+15.008+220.520185))*(2.204622/2)</f>
        <v>1058.2745937750631</v>
      </c>
      <c r="I22" s="70">
        <f t="shared" si="1"/>
        <v>4160.2783688415448</v>
      </c>
      <c r="J22" s="55">
        <f>312.944+28.392</f>
        <v>341.33600000000001</v>
      </c>
      <c r="K22" s="18"/>
      <c r="L22" s="18"/>
    </row>
    <row r="23" spans="1:12" ht="15.6">
      <c r="A23" s="37" t="s">
        <v>3</v>
      </c>
      <c r="B23" s="71"/>
      <c r="C23" s="55">
        <f>SUM(C11:C22)</f>
        <v>51100.43</v>
      </c>
      <c r="D23" s="55">
        <f>SUM(D11:D22)</f>
        <v>639.279164260926</v>
      </c>
      <c r="E23" s="55">
        <f>B11+C23+D23</f>
        <v>52141.724164260922</v>
      </c>
      <c r="F23" s="55"/>
      <c r="G23" s="72">
        <f>SUM(G11:G22)</f>
        <v>37723.484000376426</v>
      </c>
      <c r="H23" s="72">
        <f>SUM(H11:H22)</f>
        <v>14076.904163884506</v>
      </c>
      <c r="I23" s="70">
        <f>SUM(I11:I22)</f>
        <v>51800.388164260919</v>
      </c>
      <c r="J23" s="55"/>
      <c r="K23" s="18"/>
      <c r="L23" s="18"/>
    </row>
    <row r="24" spans="1:12" ht="15.6">
      <c r="A24" s="37"/>
      <c r="B24" s="71"/>
      <c r="C24" s="55"/>
      <c r="D24" s="55"/>
      <c r="E24" s="55"/>
      <c r="F24" s="55"/>
      <c r="G24" s="55"/>
      <c r="H24" s="55"/>
      <c r="I24" s="55"/>
      <c r="J24" s="55"/>
      <c r="K24" s="18"/>
      <c r="L24" s="18"/>
    </row>
    <row r="25" spans="1:12" ht="15.6">
      <c r="A25" s="37" t="s">
        <v>155</v>
      </c>
      <c r="B25" s="71"/>
      <c r="C25" s="55"/>
      <c r="D25" s="55"/>
      <c r="E25" s="55"/>
      <c r="F25" s="55"/>
      <c r="G25" s="55"/>
      <c r="H25" s="55"/>
      <c r="I25" s="55"/>
      <c r="J25" s="55"/>
      <c r="K25" s="18"/>
      <c r="L25" s="18"/>
    </row>
    <row r="26" spans="1:12" ht="15.6">
      <c r="A26" s="37" t="s">
        <v>49</v>
      </c>
      <c r="B26" s="71">
        <f>J22</f>
        <v>341.33600000000001</v>
      </c>
      <c r="C26" s="55">
        <f>4335.054+280.538</f>
        <v>4615.5920000000006</v>
      </c>
      <c r="D26" s="55">
        <f>(58774.377+3828+317.69+198.763)*2.204622/2000</f>
        <v>69.576580616130002</v>
      </c>
      <c r="E26" s="55">
        <f>SUM(B26:D26)</f>
        <v>5026.5045806161306</v>
      </c>
      <c r="F26" s="70"/>
      <c r="G26" s="72">
        <f>I26-H26</f>
        <v>3554.9196279000498</v>
      </c>
      <c r="H26" s="72">
        <f>((722.750436+12.73+260.051635))*(2.204622/2)</f>
        <v>1097.3859527160812</v>
      </c>
      <c r="I26" s="70">
        <f>E26-J26</f>
        <v>4652.305580616131</v>
      </c>
      <c r="J26" s="72">
        <f>342.914+31.285</f>
        <v>374.19900000000001</v>
      </c>
      <c r="K26" s="18"/>
      <c r="L26" s="18"/>
    </row>
    <row r="27" spans="1:12" ht="15.6">
      <c r="A27" s="37" t="s">
        <v>50</v>
      </c>
      <c r="B27" s="71">
        <f>J26</f>
        <v>374.19900000000001</v>
      </c>
      <c r="C27" s="55">
        <f>4230.274+286.02</f>
        <v>4516.2939999999999</v>
      </c>
      <c r="D27" s="55">
        <f>(57728.983+3553+27.687+527.103)*2.204622/2000</f>
        <v>68.163355082403015</v>
      </c>
      <c r="E27" s="55">
        <f>SUM(B27:D27)</f>
        <v>4958.6563550824021</v>
      </c>
      <c r="F27" s="70"/>
      <c r="G27" s="72">
        <f>I27-H27</f>
        <v>3210.4986535649587</v>
      </c>
      <c r="H27" s="72">
        <f>((931.442351+17.111+221.480062))*(2.204622/2)</f>
        <v>1289.7407015174431</v>
      </c>
      <c r="I27" s="70">
        <f>E27-J27</f>
        <v>4500.2393550824017</v>
      </c>
      <c r="J27" s="72">
        <f>415.107+43.31</f>
        <v>458.41700000000003</v>
      </c>
      <c r="K27" s="18"/>
      <c r="L27" s="18"/>
    </row>
    <row r="28" spans="1:12" ht="15.6">
      <c r="A28" s="37" t="s">
        <v>51</v>
      </c>
      <c r="B28" s="71">
        <f>J27</f>
        <v>458.41700000000003</v>
      </c>
      <c r="C28" s="55">
        <f>4269.964+299.006</f>
        <v>4568.97</v>
      </c>
      <c r="D28" s="55">
        <f>(53774.027+4411+151.156+330.376)*2.204622/2000</f>
        <v>64.668793317849008</v>
      </c>
      <c r="E28" s="55">
        <f>SUM(B28:D28)</f>
        <v>5092.0557933178497</v>
      </c>
      <c r="F28" s="70"/>
      <c r="G28" s="72">
        <f>I28-H28</f>
        <v>3253.6208184322322</v>
      </c>
      <c r="H28" s="72">
        <f>((994.759912+10.218+301.881926))*(2.204622/2)</f>
        <v>1440.5659748856178</v>
      </c>
      <c r="I28" s="70">
        <f>E28-J28</f>
        <v>4694.1867933178501</v>
      </c>
      <c r="J28" s="72">
        <f>358.134+39.735</f>
        <v>397.86900000000003</v>
      </c>
      <c r="K28" s="18"/>
      <c r="L28" s="18"/>
    </row>
    <row r="29" spans="1:12" ht="15.6">
      <c r="A29" s="37" t="s">
        <v>52</v>
      </c>
      <c r="B29" s="71">
        <f>J28</f>
        <v>397.86900000000003</v>
      </c>
      <c r="C29" s="55">
        <f>4353.068+312.586</f>
        <v>4665.6540000000005</v>
      </c>
      <c r="D29" s="183">
        <f>(56700.2+4955+88+261.6)*2.204622/2000</f>
        <v>68.348573092799995</v>
      </c>
      <c r="E29" s="183">
        <f>SUM(B29:D29)</f>
        <v>5131.8715730927997</v>
      </c>
      <c r="F29" s="182"/>
      <c r="G29" s="184">
        <f>I29-H29</f>
        <v>3118.7613076226994</v>
      </c>
      <c r="H29" s="184">
        <f>((9.636+271.3804+1041.0327))*(2.204622/2)</f>
        <v>1457.3092654700999</v>
      </c>
      <c r="I29" s="182">
        <f>E29-J29</f>
        <v>4576.0705730927993</v>
      </c>
      <c r="J29" s="72">
        <f>512.393+43.408</f>
        <v>555.80100000000004</v>
      </c>
      <c r="K29" s="18"/>
      <c r="L29" s="18"/>
    </row>
    <row r="30" spans="1:12" ht="15.6">
      <c r="A30" s="33" t="s">
        <v>156</v>
      </c>
      <c r="B30" s="73"/>
      <c r="C30" s="61">
        <f>SUM(C26:C29)</f>
        <v>18366.510000000002</v>
      </c>
      <c r="D30" s="61">
        <f>SUM(D26:D29)</f>
        <v>270.75730210918204</v>
      </c>
      <c r="E30" s="61">
        <f>B26+C30+D30</f>
        <v>18978.603302109183</v>
      </c>
      <c r="F30" s="61"/>
      <c r="G30" s="61">
        <f>SUM(G26:G29)</f>
        <v>13137.800407519939</v>
      </c>
      <c r="H30" s="61">
        <f>SUM(H26:H29)</f>
        <v>5285.0018945892425</v>
      </c>
      <c r="I30" s="61">
        <f>SUM(I26:I29)</f>
        <v>18422.802302109183</v>
      </c>
      <c r="J30" s="61"/>
      <c r="K30" s="18"/>
      <c r="L30" s="18"/>
    </row>
    <row r="31" spans="1:12" ht="16.8">
      <c r="A31" s="74" t="s">
        <v>144</v>
      </c>
      <c r="B31" s="34"/>
      <c r="C31" s="34"/>
      <c r="D31" s="34"/>
      <c r="E31" s="34"/>
      <c r="F31" s="34"/>
      <c r="G31" s="34"/>
      <c r="H31" s="34"/>
      <c r="I31" s="34"/>
      <c r="J31" s="34"/>
      <c r="K31" s="18"/>
      <c r="L31" s="18"/>
    </row>
    <row r="32" spans="1:12" ht="15.6">
      <c r="A32" s="34" t="s">
        <v>102</v>
      </c>
      <c r="B32" s="34"/>
      <c r="C32" s="34"/>
      <c r="D32" s="34"/>
      <c r="E32" s="34"/>
      <c r="F32" s="34"/>
      <c r="G32" s="34"/>
      <c r="H32" s="34"/>
      <c r="I32" s="34"/>
      <c r="J32" s="34"/>
      <c r="K32" s="18"/>
      <c r="L32" s="18"/>
    </row>
    <row r="33" spans="1:12" ht="15.6">
      <c r="A33" s="38" t="s">
        <v>20</v>
      </c>
      <c r="B33" s="66">
        <f ca="1">NOW()</f>
        <v>44266.328958333332</v>
      </c>
      <c r="C33" s="54"/>
      <c r="D33" s="50"/>
      <c r="E33" s="50"/>
      <c r="F33" s="50"/>
      <c r="G33" s="50"/>
      <c r="H33" s="50"/>
      <c r="I33" s="50"/>
      <c r="J33" s="50"/>
      <c r="K33" s="18"/>
      <c r="L33" s="18"/>
    </row>
    <row r="34" spans="1:12" ht="15.6">
      <c r="A34" s="1"/>
      <c r="B34" s="3"/>
      <c r="C34" s="4"/>
      <c r="D34" s="3"/>
      <c r="E34" s="3"/>
      <c r="F34" s="3"/>
      <c r="G34" s="3"/>
      <c r="H34" s="5"/>
      <c r="I34" s="3"/>
      <c r="J34" s="3"/>
      <c r="K34" s="18"/>
      <c r="L34" s="18"/>
    </row>
    <row r="35" spans="1:12" ht="15.6">
      <c r="A35" s="1"/>
      <c r="B35" s="3"/>
      <c r="C35" s="3"/>
      <c r="D35" s="3"/>
      <c r="E35" s="3"/>
      <c r="F35" s="3"/>
      <c r="G35" s="3"/>
      <c r="H35" s="3"/>
      <c r="I35" s="3"/>
      <c r="J35" s="3"/>
      <c r="K35" s="18"/>
      <c r="L35" s="18"/>
    </row>
    <row r="36" spans="1:12" ht="15.6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</row>
    <row r="37" spans="1:12" ht="15.6">
      <c r="A37" s="1"/>
      <c r="B37" s="1"/>
      <c r="C37" s="1"/>
      <c r="D37" s="1"/>
      <c r="E37" s="1"/>
      <c r="F37" s="1"/>
      <c r="G37" s="1"/>
      <c r="H37" s="1"/>
      <c r="I37" s="1"/>
      <c r="J37" s="1"/>
      <c r="K37" s="18"/>
      <c r="L37" s="18"/>
    </row>
    <row r="38" spans="1:12" ht="15.6">
      <c r="K38" s="18"/>
      <c r="L38" s="18"/>
    </row>
    <row r="39" spans="1:12" ht="15.6">
      <c r="K39" s="18"/>
      <c r="L39" s="18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O34"/>
  <sheetViews>
    <sheetView showGridLines="0" zoomScale="80" zoomScaleNormal="80" workbookViewId="0">
      <selection activeCell="C27" sqref="C27:C30"/>
    </sheetView>
  </sheetViews>
  <sheetFormatPr defaultRowHeight="13.2"/>
  <cols>
    <col min="1" max="1" width="14.5546875" customWidth="1"/>
    <col min="2" max="2" width="11.77734375" customWidth="1"/>
    <col min="3" max="3" width="10.77734375" customWidth="1"/>
    <col min="4" max="4" width="9.5546875" bestFit="1" customWidth="1"/>
    <col min="5" max="5" width="11.21875" bestFit="1" customWidth="1"/>
    <col min="6" max="6" width="3.77734375" customWidth="1"/>
    <col min="7" max="7" width="10.77734375" bestFit="1" customWidth="1"/>
    <col min="8" max="8" width="10.77734375" customWidth="1"/>
    <col min="9" max="9" width="12.77734375" customWidth="1"/>
    <col min="10" max="10" width="9.77734375" customWidth="1"/>
    <col min="11" max="11" width="10.77734375" customWidth="1"/>
    <col min="12" max="12" width="10.21875" bestFit="1" customWidth="1"/>
    <col min="14" max="14" width="9.21875" bestFit="1" customWidth="1"/>
  </cols>
  <sheetData>
    <row r="1" spans="1:13" ht="13.8">
      <c r="A1" s="33" t="s">
        <v>138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13.8">
      <c r="A2" s="34"/>
      <c r="B2" s="192" t="s">
        <v>0</v>
      </c>
      <c r="C2" s="192"/>
      <c r="D2" s="192"/>
      <c r="E2" s="192"/>
      <c r="F2" s="37"/>
      <c r="G2" s="192" t="s">
        <v>19</v>
      </c>
      <c r="H2" s="192"/>
      <c r="I2" s="192"/>
      <c r="J2" s="35"/>
      <c r="K2" s="35"/>
      <c r="L2" s="34"/>
    </row>
    <row r="3" spans="1:13" ht="13.8">
      <c r="A3" s="34" t="s">
        <v>69</v>
      </c>
      <c r="B3" s="36" t="s">
        <v>30</v>
      </c>
      <c r="C3" s="75" t="s">
        <v>1</v>
      </c>
      <c r="D3" s="75" t="s">
        <v>31</v>
      </c>
      <c r="E3" s="75" t="s">
        <v>26</v>
      </c>
      <c r="F3" s="75"/>
      <c r="G3" s="35" t="s">
        <v>29</v>
      </c>
      <c r="H3" s="35"/>
      <c r="I3" s="35"/>
      <c r="J3" s="75" t="s">
        <v>33</v>
      </c>
      <c r="K3" s="75" t="s">
        <v>26</v>
      </c>
      <c r="L3" s="75" t="s">
        <v>28</v>
      </c>
    </row>
    <row r="4" spans="1:13" ht="13.8">
      <c r="A4" s="39" t="s">
        <v>70</v>
      </c>
      <c r="B4" s="41" t="s">
        <v>27</v>
      </c>
      <c r="C4" s="42"/>
      <c r="D4" s="42"/>
      <c r="E4" s="42"/>
      <c r="F4" s="42"/>
      <c r="G4" s="41" t="s">
        <v>3</v>
      </c>
      <c r="H4" s="41" t="s">
        <v>80</v>
      </c>
      <c r="I4" s="41" t="s">
        <v>98</v>
      </c>
      <c r="J4" s="42"/>
      <c r="K4" s="42"/>
      <c r="L4" s="75" t="s">
        <v>79</v>
      </c>
    </row>
    <row r="5" spans="1:13" ht="14.4">
      <c r="A5" s="34"/>
      <c r="B5" s="194" t="s">
        <v>89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3" ht="13.8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3" ht="16.2">
      <c r="A7" s="34" t="s">
        <v>130</v>
      </c>
      <c r="B7" s="69">
        <v>1995.434</v>
      </c>
      <c r="C7" s="69">
        <v>24197.199000000004</v>
      </c>
      <c r="D7" s="69">
        <v>397.26178192360805</v>
      </c>
      <c r="E7" s="69">
        <f>SUM(B7:D7)</f>
        <v>26589.894781923613</v>
      </c>
      <c r="F7" s="69"/>
      <c r="G7" s="69">
        <f>K7-J7</f>
        <v>22873.228761820905</v>
      </c>
      <c r="H7" s="48">
        <v>7863.3000000000011</v>
      </c>
      <c r="I7" s="48">
        <f>G7-H7</f>
        <v>15009.928761820904</v>
      </c>
      <c r="J7" s="69">
        <v>1941.35002010271</v>
      </c>
      <c r="K7" s="69">
        <f>E7-L7</f>
        <v>24814.578781923614</v>
      </c>
      <c r="L7" s="69">
        <v>1775.316</v>
      </c>
      <c r="M7" s="17"/>
    </row>
    <row r="8" spans="1:13" ht="16.2">
      <c r="A8" s="34" t="s">
        <v>134</v>
      </c>
      <c r="B8" s="69">
        <f>B12</f>
        <v>1775.316</v>
      </c>
      <c r="C8" s="69">
        <f>C24</f>
        <v>24911.604000000003</v>
      </c>
      <c r="D8" s="69">
        <f>D24</f>
        <v>319.33808794654203</v>
      </c>
      <c r="E8" s="69">
        <f>SUM(B8:D8)</f>
        <v>27006.258087946542</v>
      </c>
      <c r="F8" s="69"/>
      <c r="G8" s="69">
        <f>K8-J8</f>
        <v>22314.872644261599</v>
      </c>
      <c r="H8" s="48">
        <f>H24</f>
        <v>7857.82</v>
      </c>
      <c r="I8" s="48">
        <f>G8-H8</f>
        <v>14457.052644261599</v>
      </c>
      <c r="J8" s="69">
        <f>J24</f>
        <v>2838.855443684904</v>
      </c>
      <c r="K8" s="69">
        <f>E8-L8</f>
        <v>25153.728087946503</v>
      </c>
      <c r="L8" s="69">
        <f>B27</f>
        <v>1852.5300000000389</v>
      </c>
      <c r="M8" s="17"/>
    </row>
    <row r="9" spans="1:13" ht="16.2">
      <c r="A9" s="34" t="s">
        <v>146</v>
      </c>
      <c r="B9" s="69">
        <v>1853</v>
      </c>
      <c r="C9" s="69">
        <v>25630</v>
      </c>
      <c r="D9" s="69">
        <v>350</v>
      </c>
      <c r="E9" s="69">
        <f>SUM(B9:D9)</f>
        <v>27833</v>
      </c>
      <c r="F9" s="69"/>
      <c r="G9" s="69">
        <f>K9-J9</f>
        <v>23500</v>
      </c>
      <c r="H9" s="48">
        <v>8300</v>
      </c>
      <c r="I9" s="48">
        <f>G9-H9</f>
        <v>15200</v>
      </c>
      <c r="J9" s="69">
        <v>2600</v>
      </c>
      <c r="K9" s="69">
        <f>E9-L9</f>
        <v>26100</v>
      </c>
      <c r="L9" s="69">
        <f>1733</f>
        <v>1733</v>
      </c>
      <c r="M9" s="17"/>
    </row>
    <row r="10" spans="1:13" ht="13.8">
      <c r="A10" s="34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7"/>
    </row>
    <row r="11" spans="1:13" ht="13.8">
      <c r="A11" s="34" t="s">
        <v>135</v>
      </c>
      <c r="B11" s="131"/>
      <c r="C11" s="55"/>
      <c r="D11" s="55"/>
      <c r="E11" s="55"/>
      <c r="F11" s="70"/>
      <c r="G11" s="55"/>
      <c r="H11" s="55"/>
      <c r="I11" s="55"/>
      <c r="J11" s="55"/>
      <c r="K11" s="55"/>
      <c r="L11" s="70"/>
    </row>
    <row r="12" spans="1:13" ht="13.8">
      <c r="A12" s="37" t="s">
        <v>49</v>
      </c>
      <c r="B12" s="70">
        <f>1400.569+374.747</f>
        <v>1775.316</v>
      </c>
      <c r="C12" s="55">
        <v>2149.9690000000001</v>
      </c>
      <c r="D12" s="70">
        <f>(0.907155+0+12.884502+0.018812)*2.204622</f>
        <v>30.446863787718002</v>
      </c>
      <c r="E12" s="55">
        <f t="shared" ref="E12:E19" si="0">SUM(B12:D12)</f>
        <v>3955.7318637877179</v>
      </c>
      <c r="F12" s="70"/>
      <c r="G12" s="70">
        <f t="shared" ref="G12:G23" si="1">K12-J12</f>
        <v>1882.0904430526298</v>
      </c>
      <c r="H12" s="55">
        <v>557.52</v>
      </c>
      <c r="I12" s="55">
        <f t="shared" ref="I12:I23" si="2">G12-H12</f>
        <v>1324.5704430526298</v>
      </c>
      <c r="J12" s="55">
        <f>(101.953963+0.105555+12.281521+0.274265)*2.204622</f>
        <v>252.68342073508799</v>
      </c>
      <c r="K12" s="55">
        <f t="shared" ref="K12:K23" si="3">E12-L12</f>
        <v>2134.7738637877178</v>
      </c>
      <c r="L12" s="70">
        <f>1471.929+349.029</f>
        <v>1820.9580000000001</v>
      </c>
      <c r="M12" s="132"/>
    </row>
    <row r="13" spans="1:13" ht="13.8">
      <c r="A13" s="37" t="s">
        <v>50</v>
      </c>
      <c r="B13" s="70">
        <f t="shared" ref="B13:B23" si="4">L12</f>
        <v>1820.9580000000001</v>
      </c>
      <c r="C13" s="55">
        <v>1999.6479999999999</v>
      </c>
      <c r="D13" s="70">
        <f>(0.913381+0.102526+10.043143+0.035035)*2.204622</f>
        <v>24.458263860870005</v>
      </c>
      <c r="E13" s="55">
        <f t="shared" si="0"/>
        <v>3845.0642638608697</v>
      </c>
      <c r="F13" s="70"/>
      <c r="G13" s="70">
        <f t="shared" si="1"/>
        <v>1706.9694769206637</v>
      </c>
      <c r="H13" s="55">
        <v>526.53</v>
      </c>
      <c r="I13" s="55">
        <f t="shared" si="2"/>
        <v>1180.4394769206638</v>
      </c>
      <c r="J13" s="55">
        <f>(98.252267+0.168085+18.257272+0.229849)*2.204622</f>
        <v>257.73678694020606</v>
      </c>
      <c r="K13" s="55">
        <f t="shared" si="3"/>
        <v>1964.7062638608697</v>
      </c>
      <c r="L13" s="70">
        <f>1522.923+357.435</f>
        <v>1880.3579999999999</v>
      </c>
      <c r="M13" s="132"/>
    </row>
    <row r="14" spans="1:13" ht="13.8">
      <c r="A14" s="37" t="s">
        <v>51</v>
      </c>
      <c r="B14" s="70">
        <f t="shared" si="4"/>
        <v>1880.3579999999999</v>
      </c>
      <c r="C14" s="55">
        <v>2110.9360000000001</v>
      </c>
      <c r="D14" s="70">
        <f>(1.517194+0.111025+14.403726+0)*2.204622</f>
        <v>35.344378649790002</v>
      </c>
      <c r="E14" s="55">
        <f t="shared" si="0"/>
        <v>4026.63837864979</v>
      </c>
      <c r="F14" s="70"/>
      <c r="G14" s="70">
        <f t="shared" si="1"/>
        <v>1708.2900719668521</v>
      </c>
      <c r="H14" s="55">
        <v>541.04999999999995</v>
      </c>
      <c r="I14" s="55">
        <f t="shared" si="2"/>
        <v>1167.2400719668522</v>
      </c>
      <c r="J14" s="55">
        <f>(63.337525+0.026618+20.056471+0.169365)*2.204622</f>
        <v>184.28430668293799</v>
      </c>
      <c r="K14" s="55">
        <f t="shared" si="3"/>
        <v>1892.5743786497901</v>
      </c>
      <c r="L14" s="70">
        <f>1749.423+384.641</f>
        <v>2134.0639999999999</v>
      </c>
      <c r="M14" s="132"/>
    </row>
    <row r="15" spans="1:13" ht="13.8">
      <c r="A15" s="37" t="s">
        <v>52</v>
      </c>
      <c r="B15" s="70">
        <f t="shared" si="4"/>
        <v>2134.0639999999999</v>
      </c>
      <c r="C15" s="55">
        <v>2154.4270000000001</v>
      </c>
      <c r="D15" s="70">
        <f>(2.126531+0.443575+12.214776+0)*2.204622</f>
        <v>32.595076124603999</v>
      </c>
      <c r="E15" s="55">
        <f t="shared" si="0"/>
        <v>4321.086076124604</v>
      </c>
      <c r="F15" s="70"/>
      <c r="G15" s="70">
        <f t="shared" si="1"/>
        <v>1844.199548509308</v>
      </c>
      <c r="H15" s="55">
        <v>521</v>
      </c>
      <c r="I15" s="55">
        <f t="shared" si="2"/>
        <v>1323.199548509308</v>
      </c>
      <c r="J15" s="55">
        <f>(44.792336+0.117811+11.595679+0.239742)*2.204622</f>
        <v>125.102527615296</v>
      </c>
      <c r="K15" s="55">
        <f t="shared" si="3"/>
        <v>1969.3020761246039</v>
      </c>
      <c r="L15" s="70">
        <f>1989.164+362.62</f>
        <v>2351.7840000000001</v>
      </c>
      <c r="M15" s="132"/>
    </row>
    <row r="16" spans="1:13" ht="13.8">
      <c r="A16" s="37" t="s">
        <v>53</v>
      </c>
      <c r="B16" s="70">
        <f t="shared" si="4"/>
        <v>2351.7840000000001</v>
      </c>
      <c r="C16" s="55">
        <v>1999.5239999999999</v>
      </c>
      <c r="D16" s="70">
        <f>(2.359956+0.08919+10.275538+0)*2.204622</f>
        <v>28.053118289448001</v>
      </c>
      <c r="E16" s="55">
        <f t="shared" si="0"/>
        <v>4379.3611182894483</v>
      </c>
      <c r="F16" s="70"/>
      <c r="G16" s="70">
        <f t="shared" si="1"/>
        <v>1605.6683977361104</v>
      </c>
      <c r="H16" s="55">
        <v>574.78</v>
      </c>
      <c r="I16" s="55">
        <f t="shared" si="2"/>
        <v>1030.8883977361104</v>
      </c>
      <c r="J16" s="55">
        <f>(163.046872+0.108209+16.27962+0.298478)*2.204622</f>
        <v>396.24372055333799</v>
      </c>
      <c r="K16" s="55">
        <f t="shared" si="3"/>
        <v>2001.9121182894482</v>
      </c>
      <c r="L16" s="70">
        <f>1996.747+380.702</f>
        <v>2377.4490000000001</v>
      </c>
      <c r="M16" s="132"/>
    </row>
    <row r="17" spans="1:15" ht="13.8">
      <c r="A17" s="37" t="s">
        <v>54</v>
      </c>
      <c r="B17" s="70">
        <f t="shared" si="4"/>
        <v>2377.4490000000001</v>
      </c>
      <c r="C17" s="55">
        <v>2201.0680000000002</v>
      </c>
      <c r="D17" s="70">
        <f>(1.501862+0.001651+9.293142+0)*2.204622</f>
        <v>23.802543139409998</v>
      </c>
      <c r="E17" s="55">
        <f t="shared" si="0"/>
        <v>4602.3195431394097</v>
      </c>
      <c r="F17" s="70"/>
      <c r="G17" s="70">
        <f t="shared" si="1"/>
        <v>1953.9599288879958</v>
      </c>
      <c r="H17" s="55">
        <v>656.02</v>
      </c>
      <c r="I17" s="55">
        <f t="shared" si="2"/>
        <v>1297.9399288879958</v>
      </c>
      <c r="J17" s="55">
        <f>(130.361496+0.283982+14.394011+0.458748)*2.204622</f>
        <v>320.76861425141408</v>
      </c>
      <c r="K17" s="55">
        <f t="shared" si="3"/>
        <v>2274.7285431394098</v>
      </c>
      <c r="L17" s="70">
        <f>1933.648+393.943</f>
        <v>2327.5909999999999</v>
      </c>
      <c r="M17" s="132"/>
    </row>
    <row r="18" spans="1:15" ht="13.8">
      <c r="A18" s="37" t="s">
        <v>55</v>
      </c>
      <c r="B18" s="70">
        <f t="shared" si="4"/>
        <v>2327.5909999999999</v>
      </c>
      <c r="C18" s="55">
        <v>2099.4650000000001</v>
      </c>
      <c r="D18" s="70">
        <f>(5.945476+0+5.110422+0)*2.204622</f>
        <v>24.374075960555999</v>
      </c>
      <c r="E18" s="55">
        <f t="shared" si="0"/>
        <v>4451.4300759605567</v>
      </c>
      <c r="F18" s="70"/>
      <c r="G18" s="70">
        <f t="shared" si="1"/>
        <v>1619.2606368912866</v>
      </c>
      <c r="H18" s="55">
        <v>671.81</v>
      </c>
      <c r="I18" s="55">
        <f t="shared" si="2"/>
        <v>947.45063689128665</v>
      </c>
      <c r="J18" s="55">
        <f>(87.695281+3.66505+12.806232+0.249722)*2.204622</f>
        <v>230.19843906926999</v>
      </c>
      <c r="K18" s="55">
        <f t="shared" si="3"/>
        <v>1849.4590759605567</v>
      </c>
      <c r="L18" s="70">
        <f>2224.007+377.964</f>
        <v>2601.971</v>
      </c>
      <c r="M18" s="132"/>
    </row>
    <row r="19" spans="1:15" ht="13.8">
      <c r="A19" s="37" t="s">
        <v>56</v>
      </c>
      <c r="B19" s="70">
        <f t="shared" si="4"/>
        <v>2601.971</v>
      </c>
      <c r="C19" s="55">
        <v>2057.6170000000002</v>
      </c>
      <c r="D19" s="70">
        <f>(3.133764+0+7.887634+0)*2.204622</f>
        <v>24.298016501556003</v>
      </c>
      <c r="E19" s="55">
        <f t="shared" si="0"/>
        <v>4683.8860165015558</v>
      </c>
      <c r="F19" s="70"/>
      <c r="G19" s="70">
        <f t="shared" si="1"/>
        <v>1878.8671831303036</v>
      </c>
      <c r="H19" s="55">
        <v>805.35</v>
      </c>
      <c r="I19" s="55">
        <f t="shared" si="2"/>
        <v>1073.5171831303037</v>
      </c>
      <c r="J19" s="55">
        <f>(146.2828+1.013597+14.669532+0.316237)*2.204622</f>
        <v>357.77083337125202</v>
      </c>
      <c r="K19" s="55">
        <f t="shared" si="3"/>
        <v>2236.6380165015557</v>
      </c>
      <c r="L19" s="70">
        <f>2048.992+398.256</f>
        <v>2447.248</v>
      </c>
      <c r="M19" s="70"/>
    </row>
    <row r="20" spans="1:15" ht="13.8">
      <c r="A20" s="37" t="s">
        <v>57</v>
      </c>
      <c r="B20" s="70">
        <f t="shared" si="4"/>
        <v>2447.248</v>
      </c>
      <c r="C20" s="55">
        <v>2035.269</v>
      </c>
      <c r="D20" s="70">
        <f>(2.511371+0+8.915069+0)*2.204622</f>
        <v>25.190981005680005</v>
      </c>
      <c r="E20" s="55">
        <f>SUM(B20:D20)</f>
        <v>4507.7079810056803</v>
      </c>
      <c r="F20" s="70"/>
      <c r="G20" s="70">
        <f t="shared" si="1"/>
        <v>2069.3751779943923</v>
      </c>
      <c r="H20" s="55">
        <v>747.07</v>
      </c>
      <c r="I20" s="55">
        <f t="shared" si="2"/>
        <v>1322.3051779943921</v>
      </c>
      <c r="J20" s="55">
        <f>(64.082208+0.046033+11.538218+0.385945)*2.204622</f>
        <v>167.66680301128801</v>
      </c>
      <c r="K20" s="55">
        <f t="shared" si="3"/>
        <v>2237.0419810056801</v>
      </c>
      <c r="L20" s="70">
        <f>1925.583+345.083</f>
        <v>2270.6660000000002</v>
      </c>
      <c r="M20" s="132"/>
    </row>
    <row r="21" spans="1:15" ht="13.8">
      <c r="A21" s="37" t="s">
        <v>59</v>
      </c>
      <c r="B21" s="70">
        <f t="shared" si="4"/>
        <v>2270.6660000000002</v>
      </c>
      <c r="C21" s="55">
        <v>2123.2370000000001</v>
      </c>
      <c r="D21" s="70">
        <f>(1.437321+0+11.120338+0)*2.204622</f>
        <v>27.684891299898002</v>
      </c>
      <c r="E21" s="55">
        <f>SUM(B21:D21)</f>
        <v>4421.5878912998978</v>
      </c>
      <c r="F21" s="70"/>
      <c r="G21" s="70">
        <f t="shared" si="1"/>
        <v>2133.8783126502199</v>
      </c>
      <c r="H21" s="55">
        <v>774.83</v>
      </c>
      <c r="I21" s="55">
        <f t="shared" si="2"/>
        <v>1359.0483126502199</v>
      </c>
      <c r="J21" s="55">
        <f>(64.323622+0.065902+10.076311+0.209814)*2.204622</f>
        <v>164.63157864967798</v>
      </c>
      <c r="K21" s="55">
        <f t="shared" si="3"/>
        <v>2298.5098912998978</v>
      </c>
      <c r="L21" s="70">
        <f>1776.314+346.764</f>
        <v>2123.078</v>
      </c>
      <c r="M21" s="132"/>
    </row>
    <row r="22" spans="1:15" ht="13.8">
      <c r="A22" s="37" t="s">
        <v>60</v>
      </c>
      <c r="B22" s="70">
        <f t="shared" si="4"/>
        <v>2123.078</v>
      </c>
      <c r="C22" s="55">
        <v>2012.8230000000001</v>
      </c>
      <c r="D22" s="70">
        <f>(0.780729+0.049783+9.307564+0)*2.204622</f>
        <v>22.350625387272</v>
      </c>
      <c r="E22" s="55">
        <f>SUM(B22:D22)</f>
        <v>4158.2516253872718</v>
      </c>
      <c r="F22" s="70"/>
      <c r="G22" s="70">
        <f t="shared" si="1"/>
        <v>2014.6131086572618</v>
      </c>
      <c r="H22" s="55">
        <v>745.33</v>
      </c>
      <c r="I22" s="55">
        <f t="shared" si="2"/>
        <v>1269.2831086572619</v>
      </c>
      <c r="J22" s="55">
        <f>(76.647872+0.035441+14.584342+0.2113)*2.204622</f>
        <v>201.67651673001004</v>
      </c>
      <c r="K22" s="55">
        <f t="shared" si="3"/>
        <v>2216.2896253872718</v>
      </c>
      <c r="L22" s="70">
        <f>1572.483+369.479</f>
        <v>1941.962</v>
      </c>
      <c r="M22" s="132"/>
    </row>
    <row r="23" spans="1:15" ht="13.8">
      <c r="A23" s="37" t="s">
        <v>62</v>
      </c>
      <c r="B23" s="70">
        <f t="shared" si="4"/>
        <v>1941.962</v>
      </c>
      <c r="C23" s="55">
        <v>1967.6210000000001</v>
      </c>
      <c r="D23" s="70">
        <f>(1.370358+0+8.036812+0)*2.204622</f>
        <v>20.739253939739999</v>
      </c>
      <c r="E23" s="55">
        <f>SUM(B23:D23)</f>
        <v>3930.3222539397402</v>
      </c>
      <c r="F23" s="70"/>
      <c r="G23" s="70">
        <f t="shared" si="1"/>
        <v>1897.7003578645754</v>
      </c>
      <c r="H23" s="55">
        <v>736.53</v>
      </c>
      <c r="I23" s="55">
        <f t="shared" si="2"/>
        <v>1161.1703578645754</v>
      </c>
      <c r="J23" s="55">
        <f>(68.72055+0.115908+12.442878+0.408997)*2.204622</f>
        <v>180.09189607512602</v>
      </c>
      <c r="K23" s="55">
        <f t="shared" si="3"/>
        <v>2077.7922539397014</v>
      </c>
      <c r="L23" s="70">
        <f>E24-K24</f>
        <v>1852.5300000000389</v>
      </c>
      <c r="M23" s="132"/>
      <c r="O23" s="132"/>
    </row>
    <row r="24" spans="1:15" ht="13.8">
      <c r="A24" s="37" t="s">
        <v>3</v>
      </c>
      <c r="B24" s="70"/>
      <c r="C24" s="55">
        <f>SUM(C12:C23)</f>
        <v>24911.604000000003</v>
      </c>
      <c r="D24" s="70">
        <f>SUM(D12:D23)</f>
        <v>319.33808794654203</v>
      </c>
      <c r="E24" s="55">
        <f>B12+C24+D24</f>
        <v>27006.258087946542</v>
      </c>
      <c r="F24" s="70"/>
      <c r="G24" s="70">
        <v>22314.872644261599</v>
      </c>
      <c r="H24" s="55">
        <f>SUM(H12:H23)</f>
        <v>7857.82</v>
      </c>
      <c r="I24" s="55">
        <v>14456</v>
      </c>
      <c r="J24" s="55">
        <f>SUM(J12:J23)</f>
        <v>2838.855443684904</v>
      </c>
      <c r="K24" s="55">
        <f>G24+J24</f>
        <v>25153.728087946503</v>
      </c>
      <c r="L24" s="70"/>
      <c r="M24" s="132"/>
    </row>
    <row r="25" spans="1:15" ht="13.8">
      <c r="A25" s="37"/>
      <c r="B25" s="131"/>
      <c r="C25" s="55"/>
      <c r="D25" s="55"/>
      <c r="E25" s="55"/>
      <c r="F25" s="70"/>
      <c r="G25" s="55"/>
      <c r="H25" s="55"/>
      <c r="I25" s="55"/>
      <c r="J25" s="55"/>
      <c r="K25" s="55"/>
      <c r="L25" s="70"/>
    </row>
    <row r="26" spans="1:15" ht="13.8">
      <c r="A26" s="34" t="s">
        <v>155</v>
      </c>
      <c r="B26" s="131"/>
      <c r="C26" s="55"/>
      <c r="D26" s="55"/>
      <c r="E26" s="55"/>
      <c r="F26" s="70"/>
      <c r="G26" s="55"/>
      <c r="H26" s="55"/>
      <c r="I26" s="55"/>
      <c r="J26" s="55"/>
      <c r="K26" s="55"/>
      <c r="L26" s="70"/>
    </row>
    <row r="27" spans="1:15" ht="13.8">
      <c r="A27" s="37" t="s">
        <v>49</v>
      </c>
      <c r="B27" s="70">
        <f>L23</f>
        <v>1852.5300000000389</v>
      </c>
      <c r="C27" s="55">
        <v>2282.471</v>
      </c>
      <c r="D27" s="70">
        <f>(1.015586+0.000563+8.263561+0)*2.204622</f>
        <v>20.45825281962</v>
      </c>
      <c r="E27" s="55">
        <f>SUM(B27:D27)</f>
        <v>4155.4592528196581</v>
      </c>
      <c r="F27" s="70"/>
      <c r="G27" s="70">
        <f>K27-J27</f>
        <v>2007.5441440301681</v>
      </c>
      <c r="H27" s="55">
        <v>723</v>
      </c>
      <c r="I27" s="55">
        <f>G27-H27</f>
        <v>1284.5441440301681</v>
      </c>
      <c r="J27" s="55">
        <f>(63.536922+0.093835+19.218456+0.634082)*2.204622</f>
        <v>184.04910878948999</v>
      </c>
      <c r="K27" s="55">
        <f>E27-L27</f>
        <v>2191.5932528196581</v>
      </c>
      <c r="L27" s="70">
        <f>1564.319+399.547</f>
        <v>1963.866</v>
      </c>
      <c r="M27" s="132"/>
    </row>
    <row r="28" spans="1:15" ht="13.8">
      <c r="A28" s="37" t="s">
        <v>50</v>
      </c>
      <c r="B28" s="70">
        <f>L27</f>
        <v>1963.866</v>
      </c>
      <c r="C28" s="55">
        <v>2206.7919999999999</v>
      </c>
      <c r="D28" s="70">
        <f>(1.296231+0+8.287878+0)*2.204622</f>
        <v>21.129337551797999</v>
      </c>
      <c r="E28" s="55">
        <f>SUM(B28:D28)</f>
        <v>4191.7873375517975</v>
      </c>
      <c r="F28" s="70"/>
      <c r="G28" s="70">
        <f>K28-J28</f>
        <v>1896.8493977333474</v>
      </c>
      <c r="H28" s="55">
        <v>683</v>
      </c>
      <c r="I28" s="55">
        <f>G28-H28</f>
        <v>1213.8493977333474</v>
      </c>
      <c r="J28" s="55">
        <f>(64.90939+0.033439+14.406644+1.047502)*2.204622</f>
        <v>177.24493981845001</v>
      </c>
      <c r="K28" s="55">
        <f>E28-L28</f>
        <v>2074.0943375517973</v>
      </c>
      <c r="L28" s="70">
        <f>1685.131+432.562</f>
        <v>2117.6930000000002</v>
      </c>
      <c r="M28" s="132"/>
    </row>
    <row r="29" spans="1:15" ht="13.8">
      <c r="A29" s="37" t="s">
        <v>51</v>
      </c>
      <c r="B29" s="70">
        <f>L28</f>
        <v>2117.6930000000002</v>
      </c>
      <c r="C29" s="55">
        <v>2231.7179999999998</v>
      </c>
      <c r="D29" s="70">
        <f>(0.835948+0+10.618288+0)*2.204622</f>
        <v>25.252260678792002</v>
      </c>
      <c r="E29" s="55">
        <f>SUM(B29:D29)</f>
        <v>4374.6632606787916</v>
      </c>
      <c r="F29" s="70"/>
      <c r="G29" s="70">
        <f>K29-J29</f>
        <v>1920.8530003162596</v>
      </c>
      <c r="H29" s="55">
        <v>744</v>
      </c>
      <c r="I29" s="55">
        <f>G29-H29</f>
        <v>1176.8530003162596</v>
      </c>
      <c r="J29" s="55">
        <f>(94.061165+0.110508+12.101682+0.340051)*2.204622</f>
        <v>235.04226036253201</v>
      </c>
      <c r="K29" s="55">
        <f>E29-L29</f>
        <v>2155.8952606787916</v>
      </c>
      <c r="L29" s="70">
        <f>1808.138+410.63</f>
        <v>2218.768</v>
      </c>
      <c r="M29" s="132"/>
    </row>
    <row r="30" spans="1:15" ht="13.8">
      <c r="A30" s="37" t="s">
        <v>52</v>
      </c>
      <c r="B30" s="70">
        <f>L29</f>
        <v>2218.768</v>
      </c>
      <c r="C30" s="55">
        <v>2308.752</v>
      </c>
      <c r="D30" s="182">
        <f>(0.0245+7.4638+1.0907+0.0333)*2.204622</f>
        <v>18.986866050600003</v>
      </c>
      <c r="E30" s="183">
        <f>SUM(B30:D30)</f>
        <v>4546.5068660506004</v>
      </c>
      <c r="F30" s="182"/>
      <c r="G30" s="182">
        <f>K30-J30</f>
        <v>1912.6850472554004</v>
      </c>
      <c r="H30" s="183" t="s">
        <v>10</v>
      </c>
      <c r="I30" s="183" t="s">
        <v>10</v>
      </c>
      <c r="J30" s="183">
        <f>(0.2616+135.8253+12.5697+0.045)*2.204622</f>
        <v>327.8308187952</v>
      </c>
      <c r="K30" s="183">
        <f>E30-L30</f>
        <v>2240.5158660506004</v>
      </c>
      <c r="L30" s="182">
        <f>1882.069+423.922</f>
        <v>2305.991</v>
      </c>
      <c r="M30" s="132"/>
    </row>
    <row r="31" spans="1:15" ht="13.8">
      <c r="A31" s="33" t="s">
        <v>156</v>
      </c>
      <c r="B31" s="76"/>
      <c r="C31" s="61">
        <f>SUM(C27:C30)</f>
        <v>9029.7330000000002</v>
      </c>
      <c r="D31" s="76">
        <f>SUM(D27:D30)</f>
        <v>85.826717100810001</v>
      </c>
      <c r="E31" s="61">
        <f>B27+C31+D31</f>
        <v>10968.089717100849</v>
      </c>
      <c r="F31" s="76"/>
      <c r="G31" s="76">
        <f>SUM(G27:G30)</f>
        <v>7737.9315893351759</v>
      </c>
      <c r="H31" s="61">
        <f>SUM(H27:H29)</f>
        <v>2150</v>
      </c>
      <c r="I31" s="61">
        <f>SUM(I27:I29)</f>
        <v>3675.2465420797753</v>
      </c>
      <c r="J31" s="61">
        <f>SUM(J27:J30)</f>
        <v>924.16712776567203</v>
      </c>
      <c r="K31" s="76">
        <f>SUM(K27:K30)</f>
        <v>8662.0987171008474</v>
      </c>
      <c r="L31" s="76"/>
    </row>
    <row r="32" spans="1:15" ht="16.2">
      <c r="A32" s="74" t="s">
        <v>145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4.4">
      <c r="A33" s="34" t="s">
        <v>102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3.8">
      <c r="A34" s="38" t="s">
        <v>20</v>
      </c>
      <c r="B34" s="66">
        <f ca="1">NOW()</f>
        <v>44266.328958333332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7"/>
  <sheetViews>
    <sheetView showGridLines="0" zoomScaleNormal="100" workbookViewId="0">
      <selection activeCell="B29" sqref="B29:E29"/>
    </sheetView>
  </sheetViews>
  <sheetFormatPr defaultRowHeight="13.2"/>
  <cols>
    <col min="1" max="1" width="14.77734375" customWidth="1"/>
    <col min="2" max="2" width="12.6640625" customWidth="1"/>
    <col min="3" max="3" width="10.21875" customWidth="1"/>
    <col min="4" max="4" width="12.21875" customWidth="1"/>
    <col min="5" max="5" width="10.77734375" customWidth="1"/>
    <col min="6" max="6" width="10.5546875" customWidth="1"/>
    <col min="7" max="7" width="11.77734375" customWidth="1"/>
    <col min="8" max="8" width="8.77734375" customWidth="1"/>
    <col min="9" max="9" width="9.77734375" customWidth="1"/>
    <col min="10" max="11" width="7.77734375" customWidth="1"/>
    <col min="12" max="12" width="8.5546875" customWidth="1"/>
    <col min="13" max="13" width="9.5546875" customWidth="1"/>
    <col min="14" max="15" width="7.5546875" customWidth="1"/>
  </cols>
  <sheetData>
    <row r="1" spans="1:15" ht="13.8">
      <c r="A1" s="33" t="s">
        <v>139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</row>
    <row r="2" spans="1:15" ht="13.8">
      <c r="A2" s="34"/>
      <c r="B2" s="192" t="s">
        <v>0</v>
      </c>
      <c r="C2" s="192"/>
      <c r="D2" s="192"/>
      <c r="E2" s="192"/>
      <c r="F2" s="77"/>
      <c r="G2" s="192" t="s">
        <v>19</v>
      </c>
      <c r="H2" s="192"/>
      <c r="I2" s="192"/>
      <c r="J2" s="192"/>
      <c r="K2" s="77"/>
      <c r="L2" s="34"/>
      <c r="M2" s="34"/>
      <c r="N2" s="34"/>
      <c r="O2" s="34"/>
    </row>
    <row r="3" spans="1:15" ht="13.8">
      <c r="A3" s="34" t="s">
        <v>69</v>
      </c>
      <c r="B3" s="38" t="s">
        <v>30</v>
      </c>
      <c r="C3" s="38"/>
      <c r="D3" s="38"/>
      <c r="E3" s="38"/>
      <c r="F3" s="78"/>
      <c r="G3" s="38"/>
      <c r="H3" s="38"/>
      <c r="I3" s="38"/>
      <c r="J3" s="38"/>
      <c r="K3" s="36" t="s">
        <v>28</v>
      </c>
      <c r="L3" s="34"/>
      <c r="M3" s="34"/>
      <c r="N3" s="34"/>
      <c r="O3" s="34"/>
    </row>
    <row r="4" spans="1:15" ht="13.8">
      <c r="A4" s="39" t="s">
        <v>71</v>
      </c>
      <c r="B4" s="41" t="s">
        <v>46</v>
      </c>
      <c r="C4" s="79" t="s">
        <v>1</v>
      </c>
      <c r="D4" s="43" t="s">
        <v>31</v>
      </c>
      <c r="E4" s="41" t="s">
        <v>78</v>
      </c>
      <c r="F4" s="42"/>
      <c r="G4" s="41" t="s">
        <v>34</v>
      </c>
      <c r="H4" s="41" t="s">
        <v>4</v>
      </c>
      <c r="I4" s="41" t="s">
        <v>35</v>
      </c>
      <c r="J4" s="41" t="s">
        <v>32</v>
      </c>
      <c r="K4" s="41" t="s">
        <v>27</v>
      </c>
      <c r="L4" s="34"/>
      <c r="M4" s="34"/>
      <c r="N4" s="34"/>
      <c r="O4" s="34"/>
    </row>
    <row r="5" spans="1:15" ht="14.4">
      <c r="A5" s="34"/>
      <c r="B5" s="193" t="s">
        <v>14</v>
      </c>
      <c r="C5" s="193"/>
      <c r="D5" s="193"/>
      <c r="E5" s="193"/>
      <c r="F5" s="193"/>
      <c r="G5" s="193"/>
      <c r="H5" s="193"/>
      <c r="I5" s="193"/>
      <c r="J5" s="193"/>
      <c r="K5" s="193"/>
      <c r="L5" s="34"/>
      <c r="M5" s="34"/>
      <c r="N5" s="34"/>
      <c r="O5" s="34"/>
    </row>
    <row r="6" spans="1:15" ht="13.8">
      <c r="A6" s="34"/>
      <c r="B6" s="34"/>
      <c r="C6" s="34"/>
      <c r="D6" s="34"/>
      <c r="E6" s="34"/>
      <c r="F6" s="34"/>
      <c r="G6" s="75"/>
      <c r="H6" s="80"/>
      <c r="I6" s="75"/>
      <c r="J6" s="75"/>
      <c r="K6" s="34"/>
      <c r="L6" s="34"/>
      <c r="M6" s="34"/>
      <c r="N6" s="34"/>
      <c r="O6" s="34"/>
    </row>
    <row r="7" spans="1:15" ht="16.2">
      <c r="A7" s="34" t="s">
        <v>130</v>
      </c>
      <c r="B7" s="81">
        <v>451</v>
      </c>
      <c r="C7" s="81">
        <v>5631</v>
      </c>
      <c r="D7" s="82">
        <v>0.50413091273999999</v>
      </c>
      <c r="E7" s="81">
        <f>B7+C7+D7</f>
        <v>6082.50413091274</v>
      </c>
      <c r="F7" s="49"/>
      <c r="G7" s="81">
        <v>1760.4089999999999</v>
      </c>
      <c r="H7" s="83">
        <v>387.03680000000003</v>
      </c>
      <c r="I7" s="81">
        <f>J7-G7-H7</f>
        <v>3458.0583309127405</v>
      </c>
      <c r="J7" s="81">
        <f>E7-K7</f>
        <v>5605.50413091274</v>
      </c>
      <c r="K7" s="81">
        <v>477</v>
      </c>
      <c r="L7" s="34"/>
      <c r="M7" s="34"/>
      <c r="N7" s="34"/>
      <c r="O7" s="34"/>
    </row>
    <row r="8" spans="1:15" ht="16.2">
      <c r="A8" s="34" t="s">
        <v>134</v>
      </c>
      <c r="B8" s="81">
        <f>K7</f>
        <v>477</v>
      </c>
      <c r="C8" s="81">
        <v>5945</v>
      </c>
      <c r="D8" s="82">
        <v>1.0880000000000001</v>
      </c>
      <c r="E8" s="81">
        <f>B8+C8+D8</f>
        <v>6423.0879999999997</v>
      </c>
      <c r="F8" s="49"/>
      <c r="G8" s="81">
        <v>1712.0099999999998</v>
      </c>
      <c r="H8" s="83">
        <v>340.67500000000001</v>
      </c>
      <c r="I8" s="81">
        <f>J8-G8-H8</f>
        <v>3914.4029999999993</v>
      </c>
      <c r="J8" s="81">
        <f>E8-K8</f>
        <v>5967.0879999999997</v>
      </c>
      <c r="K8" s="81">
        <v>456</v>
      </c>
      <c r="L8" s="34"/>
      <c r="M8" s="34"/>
      <c r="N8" s="34"/>
      <c r="O8" s="34"/>
    </row>
    <row r="9" spans="1:15" ht="16.2">
      <c r="A9" s="33" t="s">
        <v>146</v>
      </c>
      <c r="B9" s="84">
        <f>K8</f>
        <v>456</v>
      </c>
      <c r="C9" s="84">
        <v>4161</v>
      </c>
      <c r="D9" s="85">
        <v>5</v>
      </c>
      <c r="E9" s="84">
        <f>B9+C9+D9</f>
        <v>4622</v>
      </c>
      <c r="F9" s="86"/>
      <c r="G9" s="84">
        <v>1497</v>
      </c>
      <c r="H9" s="87">
        <v>227</v>
      </c>
      <c r="I9" s="84">
        <f>J9-G9-H9</f>
        <v>2589</v>
      </c>
      <c r="J9" s="84">
        <f>E9-K9</f>
        <v>4313</v>
      </c>
      <c r="K9" s="84">
        <v>309</v>
      </c>
      <c r="L9" s="34"/>
      <c r="M9" s="34"/>
      <c r="N9" s="34"/>
      <c r="O9" s="34"/>
    </row>
    <row r="10" spans="1:15" ht="16.2">
      <c r="A10" s="74" t="s">
        <v>103</v>
      </c>
      <c r="B10" s="34"/>
      <c r="C10" s="49"/>
      <c r="D10" s="49"/>
      <c r="E10" s="49"/>
      <c r="F10" s="49"/>
      <c r="G10" s="135"/>
      <c r="H10" s="49"/>
      <c r="I10" s="49"/>
      <c r="J10" s="49"/>
      <c r="K10" s="34"/>
      <c r="L10" s="34"/>
      <c r="M10" s="34"/>
      <c r="N10" s="34"/>
      <c r="O10" s="34"/>
    </row>
    <row r="11" spans="1:15" ht="14.4">
      <c r="A11" s="34" t="s">
        <v>104</v>
      </c>
      <c r="B11" s="50"/>
      <c r="C11" s="54"/>
      <c r="D11" s="34"/>
      <c r="E11" s="50"/>
      <c r="F11" s="50"/>
      <c r="G11" s="50"/>
      <c r="H11" s="50"/>
      <c r="I11" s="50"/>
      <c r="J11" s="50"/>
      <c r="K11" s="34"/>
      <c r="L11" s="34"/>
      <c r="M11" s="34"/>
      <c r="N11" s="34"/>
      <c r="O11" s="34"/>
    </row>
    <row r="12" spans="1:15" ht="14.4">
      <c r="A12" s="34" t="s">
        <v>151</v>
      </c>
      <c r="B12" s="50"/>
      <c r="C12" s="54"/>
      <c r="D12" s="34"/>
      <c r="E12" s="50"/>
      <c r="F12" s="50"/>
      <c r="G12" s="50"/>
      <c r="H12" s="50"/>
      <c r="I12" s="50"/>
      <c r="J12" s="50"/>
      <c r="K12" s="34"/>
      <c r="L12" s="34"/>
      <c r="M12" s="34"/>
      <c r="N12" s="34"/>
      <c r="O12" s="34"/>
    </row>
    <row r="13" spans="1:15" ht="13.8">
      <c r="A13" s="34"/>
      <c r="B13" s="50"/>
      <c r="C13" s="54"/>
      <c r="D13" s="34"/>
      <c r="E13" s="50"/>
      <c r="F13" s="50"/>
      <c r="G13" s="50"/>
      <c r="H13" s="50"/>
      <c r="I13" s="50"/>
      <c r="J13" s="50"/>
      <c r="K13" s="34"/>
      <c r="L13" s="34"/>
      <c r="M13" s="34"/>
      <c r="N13" s="34"/>
      <c r="O13" s="34"/>
    </row>
    <row r="14" spans="1:15" ht="13.8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3.8">
      <c r="A15" s="33" t="s">
        <v>140</v>
      </c>
      <c r="B15" s="33"/>
      <c r="C15" s="33"/>
      <c r="D15" s="33"/>
      <c r="E15" s="33"/>
      <c r="F15" s="33"/>
      <c r="G15" s="33"/>
      <c r="H15" s="33"/>
      <c r="I15" s="34"/>
      <c r="J15" s="33"/>
      <c r="K15" s="34"/>
      <c r="L15" s="34"/>
      <c r="M15" s="34"/>
      <c r="N15" s="34"/>
      <c r="O15" s="34"/>
    </row>
    <row r="16" spans="1:15" ht="13.8">
      <c r="A16" s="34"/>
      <c r="B16" s="192" t="s">
        <v>0</v>
      </c>
      <c r="C16" s="192"/>
      <c r="D16" s="192"/>
      <c r="E16" s="192"/>
      <c r="F16" s="34"/>
      <c r="G16" s="192" t="s">
        <v>19</v>
      </c>
      <c r="H16" s="192"/>
      <c r="I16" s="192"/>
      <c r="J16" s="34"/>
      <c r="K16" s="34"/>
      <c r="L16" s="34"/>
      <c r="M16" s="34"/>
      <c r="N16" s="34"/>
      <c r="O16" s="34"/>
    </row>
    <row r="17" spans="1:15" ht="13.8">
      <c r="A17" s="34" t="s">
        <v>69</v>
      </c>
      <c r="B17" s="36" t="s">
        <v>30</v>
      </c>
      <c r="C17" s="38"/>
      <c r="D17" s="38"/>
      <c r="E17" s="38"/>
      <c r="F17" s="38"/>
      <c r="G17" s="38"/>
      <c r="H17" s="38"/>
      <c r="I17" s="38"/>
      <c r="J17" s="36" t="s">
        <v>28</v>
      </c>
      <c r="K17" s="34"/>
      <c r="L17" s="34"/>
      <c r="M17" s="34"/>
      <c r="N17" s="34"/>
      <c r="O17" s="34"/>
    </row>
    <row r="18" spans="1:15" ht="13.8">
      <c r="A18" s="39" t="s">
        <v>70</v>
      </c>
      <c r="B18" s="41" t="s">
        <v>27</v>
      </c>
      <c r="C18" s="79" t="s">
        <v>1</v>
      </c>
      <c r="D18" s="43" t="s">
        <v>31</v>
      </c>
      <c r="E18" s="41" t="s">
        <v>32</v>
      </c>
      <c r="F18" s="42"/>
      <c r="G18" s="88" t="s">
        <v>9</v>
      </c>
      <c r="H18" s="41" t="s">
        <v>4</v>
      </c>
      <c r="I18" s="43" t="s">
        <v>26</v>
      </c>
      <c r="J18" s="41" t="s">
        <v>27</v>
      </c>
      <c r="K18" s="34"/>
      <c r="L18" s="34"/>
      <c r="M18" s="34"/>
      <c r="N18" s="34"/>
      <c r="O18" s="34"/>
    </row>
    <row r="19" spans="1:15" ht="14.4">
      <c r="A19" s="34"/>
      <c r="B19" s="193" t="s">
        <v>15</v>
      </c>
      <c r="C19" s="193"/>
      <c r="D19" s="193"/>
      <c r="E19" s="193"/>
      <c r="F19" s="193"/>
      <c r="G19" s="193"/>
      <c r="H19" s="193"/>
      <c r="I19" s="193"/>
      <c r="J19" s="193"/>
      <c r="K19" s="34"/>
      <c r="L19" s="34"/>
      <c r="M19" s="34"/>
      <c r="N19" s="34"/>
      <c r="O19" s="34"/>
    </row>
    <row r="20" spans="1:15" ht="13.8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6.2">
      <c r="A21" s="34" t="s">
        <v>130</v>
      </c>
      <c r="B21" s="81">
        <v>45</v>
      </c>
      <c r="C21" s="83">
        <v>747.56499999999983</v>
      </c>
      <c r="D21" s="82">
        <v>0</v>
      </c>
      <c r="E21" s="83">
        <f>B21+C21+D21</f>
        <v>792.56499999999983</v>
      </c>
      <c r="F21" s="34"/>
      <c r="G21" s="83">
        <f>I21-H21</f>
        <v>635.74599999999987</v>
      </c>
      <c r="H21" s="83">
        <v>113.819</v>
      </c>
      <c r="I21" s="83">
        <f>E21-J21</f>
        <v>749.56499999999983</v>
      </c>
      <c r="J21" s="81">
        <v>43</v>
      </c>
      <c r="K21" s="34"/>
      <c r="L21" s="34"/>
      <c r="M21" s="34"/>
      <c r="N21" s="34"/>
      <c r="O21" s="34"/>
    </row>
    <row r="22" spans="1:15" ht="16.2">
      <c r="A22" s="34" t="s">
        <v>134</v>
      </c>
      <c r="B22" s="81">
        <f>J21</f>
        <v>43</v>
      </c>
      <c r="C22" s="83">
        <v>779.976</v>
      </c>
      <c r="D22" s="82">
        <v>0</v>
      </c>
      <c r="E22" s="83">
        <f>B22+C22+D22</f>
        <v>822.976</v>
      </c>
      <c r="F22" s="34"/>
      <c r="G22" s="83">
        <f>I22-H22</f>
        <v>688.53899999999999</v>
      </c>
      <c r="H22" s="83">
        <v>109.565</v>
      </c>
      <c r="I22" s="83">
        <f>E22-J22</f>
        <v>798.10400000000004</v>
      </c>
      <c r="J22" s="81">
        <v>24.872</v>
      </c>
      <c r="K22" s="34"/>
      <c r="L22" s="34"/>
      <c r="M22" s="34"/>
      <c r="N22" s="34"/>
      <c r="O22" s="34"/>
    </row>
    <row r="23" spans="1:15" ht="16.2">
      <c r="A23" s="33" t="s">
        <v>146</v>
      </c>
      <c r="B23" s="84">
        <v>23</v>
      </c>
      <c r="C23" s="87">
        <v>658</v>
      </c>
      <c r="D23" s="85">
        <v>0</v>
      </c>
      <c r="E23" s="87">
        <f>B23+C23+D23</f>
        <v>681</v>
      </c>
      <c r="F23" s="86"/>
      <c r="G23" s="87">
        <v>572</v>
      </c>
      <c r="H23" s="87">
        <v>68</v>
      </c>
      <c r="I23" s="87">
        <f>E23-J23</f>
        <v>640</v>
      </c>
      <c r="J23" s="84">
        <v>41</v>
      </c>
      <c r="K23" s="34"/>
      <c r="L23" s="34"/>
      <c r="M23" s="34"/>
      <c r="N23" s="34"/>
      <c r="O23" s="34"/>
    </row>
    <row r="24" spans="1:15" ht="16.2">
      <c r="A24" s="74" t="s">
        <v>103</v>
      </c>
      <c r="B24" s="34"/>
      <c r="C24" s="49"/>
      <c r="D24" s="49"/>
      <c r="E24" s="49"/>
      <c r="F24" s="49"/>
      <c r="G24" s="49"/>
      <c r="H24" s="49"/>
      <c r="I24" s="34"/>
      <c r="J24" s="34"/>
      <c r="K24" s="34"/>
      <c r="L24" s="34"/>
      <c r="M24" s="34"/>
      <c r="N24" s="34"/>
      <c r="O24" s="34"/>
    </row>
    <row r="25" spans="1:15" ht="14.4">
      <c r="A25" s="34" t="s">
        <v>149</v>
      </c>
      <c r="B25" s="89"/>
      <c r="C25" s="89"/>
      <c r="D25" s="89"/>
      <c r="E25" s="89"/>
      <c r="F25" s="89"/>
      <c r="G25" s="89"/>
      <c r="H25" s="89"/>
      <c r="I25" s="34"/>
      <c r="J25" s="34"/>
      <c r="K25" s="34"/>
      <c r="L25" s="34"/>
      <c r="M25" s="34"/>
      <c r="N25" s="34"/>
      <c r="O25" s="34"/>
    </row>
    <row r="26" spans="1:15" ht="13.8">
      <c r="A26" s="37"/>
      <c r="B26" s="50"/>
      <c r="C26" s="50"/>
      <c r="D26" s="50"/>
      <c r="E26" s="50"/>
      <c r="F26" s="50"/>
      <c r="G26" s="50"/>
      <c r="H26" s="50"/>
      <c r="I26" s="34"/>
      <c r="J26" s="34"/>
      <c r="K26" s="34"/>
      <c r="L26" s="34"/>
      <c r="M26" s="34"/>
      <c r="N26" s="34"/>
      <c r="O26" s="34"/>
    </row>
    <row r="27" spans="1:15" ht="13.8">
      <c r="A27" s="37"/>
      <c r="B27" s="50"/>
      <c r="C27" s="54"/>
      <c r="D27" s="50"/>
      <c r="E27" s="50"/>
      <c r="F27" s="50"/>
      <c r="G27" s="50"/>
      <c r="H27" s="50"/>
      <c r="I27" s="34"/>
      <c r="J27" s="34"/>
      <c r="K27" s="34"/>
      <c r="L27" s="34"/>
      <c r="M27" s="34"/>
      <c r="N27" s="34"/>
      <c r="O27" s="34"/>
    </row>
    <row r="28" spans="1:15" ht="13.8">
      <c r="A28" s="33" t="s">
        <v>141</v>
      </c>
      <c r="B28" s="33"/>
      <c r="C28" s="33"/>
      <c r="D28" s="33"/>
      <c r="E28" s="33"/>
      <c r="F28" s="33"/>
      <c r="G28" s="33"/>
      <c r="H28" s="33"/>
      <c r="I28" s="34"/>
      <c r="J28" s="33"/>
      <c r="K28" s="34"/>
      <c r="L28" s="34"/>
      <c r="M28" s="34"/>
      <c r="N28" s="34"/>
      <c r="O28" s="34"/>
    </row>
    <row r="29" spans="1:15" ht="13.8">
      <c r="A29" s="34"/>
      <c r="B29" s="192" t="s">
        <v>0</v>
      </c>
      <c r="C29" s="192"/>
      <c r="D29" s="192"/>
      <c r="E29" s="192"/>
      <c r="F29" s="34"/>
      <c r="G29" s="192" t="s">
        <v>19</v>
      </c>
      <c r="H29" s="192"/>
      <c r="I29" s="192"/>
      <c r="J29" s="34"/>
      <c r="K29" s="34"/>
      <c r="L29" s="34"/>
      <c r="M29" s="34"/>
      <c r="N29" s="34"/>
      <c r="O29" s="34"/>
    </row>
    <row r="30" spans="1:15" ht="13.8">
      <c r="A30" s="34" t="s">
        <v>69</v>
      </c>
      <c r="B30" s="36" t="s">
        <v>30</v>
      </c>
      <c r="C30" s="38"/>
      <c r="D30" s="38"/>
      <c r="E30" s="38"/>
      <c r="F30" s="38"/>
      <c r="G30" s="38"/>
      <c r="H30" s="38"/>
      <c r="I30" s="38"/>
      <c r="J30" s="36" t="s">
        <v>28</v>
      </c>
      <c r="K30" s="34"/>
      <c r="L30" s="34"/>
      <c r="M30" s="34"/>
      <c r="N30" s="34"/>
      <c r="O30" s="34"/>
    </row>
    <row r="31" spans="1:15" ht="13.8">
      <c r="A31" s="39" t="s">
        <v>70</v>
      </c>
      <c r="B31" s="41" t="s">
        <v>27</v>
      </c>
      <c r="C31" s="41" t="s">
        <v>1</v>
      </c>
      <c r="D31" s="43" t="s">
        <v>31</v>
      </c>
      <c r="E31" s="41" t="s">
        <v>32</v>
      </c>
      <c r="F31" s="42"/>
      <c r="G31" s="41" t="s">
        <v>29</v>
      </c>
      <c r="H31" s="41" t="s">
        <v>4</v>
      </c>
      <c r="I31" s="41" t="s">
        <v>26</v>
      </c>
      <c r="J31" s="41" t="s">
        <v>79</v>
      </c>
      <c r="K31" s="34"/>
      <c r="L31" s="34"/>
      <c r="M31" s="34"/>
      <c r="N31" s="34"/>
      <c r="O31" s="34"/>
    </row>
    <row r="32" spans="1:15" ht="14.4">
      <c r="A32" s="34"/>
      <c r="B32" s="193" t="s">
        <v>16</v>
      </c>
      <c r="C32" s="193"/>
      <c r="D32" s="193"/>
      <c r="E32" s="193"/>
      <c r="F32" s="193"/>
      <c r="G32" s="193"/>
      <c r="H32" s="193"/>
      <c r="I32" s="193"/>
      <c r="J32" s="193"/>
      <c r="K32" s="34"/>
      <c r="L32" s="34"/>
      <c r="M32" s="34"/>
      <c r="N32" s="34"/>
      <c r="O32" s="34"/>
    </row>
    <row r="33" spans="1:15" ht="13.8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6.2">
      <c r="A34" s="34" t="s">
        <v>130</v>
      </c>
      <c r="B34" s="82">
        <v>32</v>
      </c>
      <c r="C34" s="83">
        <v>455.77300000000002</v>
      </c>
      <c r="D34" s="82">
        <v>4.2840000000000003E-2</v>
      </c>
      <c r="E34" s="90">
        <f>B34+C34+D34</f>
        <v>487.81584000000004</v>
      </c>
      <c r="F34" s="34"/>
      <c r="G34" s="83">
        <f>I34-H34</f>
        <v>369.63574000000006</v>
      </c>
      <c r="H34" s="83">
        <v>83.139099999999999</v>
      </c>
      <c r="I34" s="83">
        <f>E34-J34</f>
        <v>452.77484000000004</v>
      </c>
      <c r="J34" s="91">
        <v>35.040999999999997</v>
      </c>
      <c r="K34" s="34"/>
      <c r="L34" s="34"/>
      <c r="M34" s="34"/>
      <c r="N34" s="34"/>
      <c r="O34" s="34"/>
    </row>
    <row r="35" spans="1:15" ht="16.2">
      <c r="A35" s="34" t="s">
        <v>134</v>
      </c>
      <c r="B35" s="82">
        <f>J34</f>
        <v>35.040999999999997</v>
      </c>
      <c r="C35" s="83">
        <v>481.34800000000001</v>
      </c>
      <c r="D35" s="82">
        <v>0.26666000000000001</v>
      </c>
      <c r="E35" s="90">
        <f>B35+C35+D35</f>
        <v>516.65566000000001</v>
      </c>
      <c r="F35" s="34"/>
      <c r="G35" s="83">
        <f>I35-H35</f>
        <v>388.20186000000001</v>
      </c>
      <c r="H35" s="83">
        <v>83.915800000000004</v>
      </c>
      <c r="I35" s="83">
        <f>E35-J35</f>
        <v>472.11766</v>
      </c>
      <c r="J35" s="91">
        <f>28.538+16</f>
        <v>44.537999999999997</v>
      </c>
      <c r="K35" s="34"/>
      <c r="L35" s="34"/>
      <c r="M35" s="34"/>
      <c r="N35" s="34"/>
      <c r="O35" s="34"/>
    </row>
    <row r="36" spans="1:15" ht="16.2">
      <c r="A36" s="33" t="s">
        <v>146</v>
      </c>
      <c r="B36" s="85">
        <f>J35</f>
        <v>44.537999999999997</v>
      </c>
      <c r="C36" s="87">
        <v>454.15226000000001</v>
      </c>
      <c r="D36" s="85">
        <v>5</v>
      </c>
      <c r="E36" s="92">
        <f>B36+C36+D36</f>
        <v>503.69026000000002</v>
      </c>
      <c r="F36" s="86"/>
      <c r="G36" s="87">
        <f>I36-H36</f>
        <v>392.69026000000002</v>
      </c>
      <c r="H36" s="87">
        <v>66</v>
      </c>
      <c r="I36" s="87">
        <f>E36-J36</f>
        <v>458.69026000000002</v>
      </c>
      <c r="J36" s="87">
        <v>45</v>
      </c>
      <c r="K36" s="34"/>
      <c r="L36" s="34"/>
      <c r="M36" s="34"/>
      <c r="N36" s="34"/>
      <c r="O36" s="34"/>
    </row>
    <row r="37" spans="1:15" ht="16.2">
      <c r="A37" s="74" t="s">
        <v>103</v>
      </c>
      <c r="B37" s="34"/>
      <c r="C37" s="49"/>
      <c r="D37" s="49"/>
      <c r="E37" s="49"/>
      <c r="F37" s="49"/>
      <c r="G37" s="49"/>
      <c r="H37" s="49"/>
      <c r="I37" s="34"/>
      <c r="J37" s="34"/>
      <c r="K37" s="34"/>
      <c r="L37" s="34"/>
      <c r="M37" s="34"/>
      <c r="N37" s="34"/>
      <c r="O37" s="34"/>
    </row>
    <row r="38" spans="1:15" ht="14.4">
      <c r="A38" s="34" t="s">
        <v>149</v>
      </c>
      <c r="B38" s="50"/>
      <c r="C38" s="54"/>
      <c r="D38" s="50"/>
      <c r="E38" s="50"/>
      <c r="F38" s="50"/>
      <c r="G38" s="50"/>
      <c r="H38" s="50"/>
      <c r="I38" s="34"/>
      <c r="J38" s="34"/>
      <c r="K38" s="34"/>
      <c r="L38" s="34"/>
      <c r="M38" s="34"/>
      <c r="N38" s="34"/>
      <c r="O38" s="34"/>
    </row>
    <row r="39" spans="1:15" ht="13.8">
      <c r="A39" s="37"/>
      <c r="B39" s="37"/>
      <c r="C39" s="37"/>
      <c r="D39" s="37"/>
      <c r="E39" s="37"/>
      <c r="F39" s="37"/>
      <c r="G39" s="37"/>
      <c r="H39" s="37"/>
      <c r="I39" s="34"/>
      <c r="J39" s="34"/>
      <c r="K39" s="34"/>
      <c r="L39" s="34"/>
      <c r="M39" s="34"/>
      <c r="N39" s="34"/>
      <c r="O39" s="34"/>
    </row>
    <row r="40" spans="1:15" ht="13.8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3.8">
      <c r="A41" s="33" t="s">
        <v>142</v>
      </c>
      <c r="B41" s="33"/>
      <c r="C41" s="33"/>
      <c r="D41" s="33"/>
      <c r="E41" s="33"/>
      <c r="F41" s="33"/>
      <c r="G41" s="33"/>
      <c r="H41" s="33"/>
      <c r="I41" s="33"/>
      <c r="J41" s="34"/>
      <c r="K41" s="34"/>
      <c r="L41" s="34"/>
      <c r="M41" s="34"/>
      <c r="N41" s="34"/>
      <c r="O41" s="33"/>
    </row>
    <row r="42" spans="1:15" ht="13.8">
      <c r="A42" s="34"/>
      <c r="B42" s="192" t="s">
        <v>21</v>
      </c>
      <c r="C42" s="192"/>
      <c r="D42" s="36" t="s">
        <v>24</v>
      </c>
      <c r="E42" s="192" t="s">
        <v>75</v>
      </c>
      <c r="F42" s="192"/>
      <c r="G42" s="192"/>
      <c r="H42" s="192"/>
      <c r="I42" s="34"/>
      <c r="J42" s="192" t="s">
        <v>19</v>
      </c>
      <c r="K42" s="192"/>
      <c r="L42" s="192"/>
      <c r="M42" s="192"/>
      <c r="N42" s="192"/>
      <c r="O42" s="34"/>
    </row>
    <row r="43" spans="1:15" ht="13.8">
      <c r="A43" s="34" t="s">
        <v>69</v>
      </c>
      <c r="B43" s="36" t="s">
        <v>22</v>
      </c>
      <c r="C43" s="36" t="s">
        <v>23</v>
      </c>
      <c r="D43" s="34"/>
      <c r="E43" s="36" t="s">
        <v>30</v>
      </c>
      <c r="F43" s="36"/>
      <c r="G43" s="36"/>
      <c r="H43" s="36"/>
      <c r="I43" s="34"/>
      <c r="J43" s="133" t="s">
        <v>9</v>
      </c>
      <c r="K43" s="36"/>
      <c r="L43" s="36" t="s">
        <v>82</v>
      </c>
      <c r="M43" s="36"/>
      <c r="N43" s="36"/>
      <c r="O43" s="36" t="s">
        <v>28</v>
      </c>
    </row>
    <row r="44" spans="1:15" ht="13.8">
      <c r="A44" s="39" t="s">
        <v>71</v>
      </c>
      <c r="B44" s="40"/>
      <c r="C44" s="40"/>
      <c r="D44" s="40"/>
      <c r="E44" s="41" t="s">
        <v>27</v>
      </c>
      <c r="F44" s="41" t="s">
        <v>1</v>
      </c>
      <c r="G44" s="41" t="s">
        <v>31</v>
      </c>
      <c r="H44" s="41" t="s">
        <v>32</v>
      </c>
      <c r="I44" s="41"/>
      <c r="J44" s="41" t="s">
        <v>36</v>
      </c>
      <c r="K44" s="41" t="s">
        <v>34</v>
      </c>
      <c r="L44" s="41" t="s">
        <v>5</v>
      </c>
      <c r="M44" s="43" t="s">
        <v>4</v>
      </c>
      <c r="N44" s="41" t="s">
        <v>26</v>
      </c>
      <c r="O44" s="41" t="s">
        <v>79</v>
      </c>
    </row>
    <row r="45" spans="1:15" ht="14.4">
      <c r="A45" s="34"/>
      <c r="B45" s="194" t="s">
        <v>77</v>
      </c>
      <c r="C45" s="193"/>
      <c r="D45" s="93" t="s">
        <v>65</v>
      </c>
      <c r="E45" s="193" t="s">
        <v>17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</row>
    <row r="46" spans="1:15" ht="13.8">
      <c r="A46" s="34"/>
      <c r="B46" s="36"/>
      <c r="C46" s="3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6.2">
      <c r="A47" s="34" t="s">
        <v>130</v>
      </c>
      <c r="B47" s="81">
        <v>1425.5</v>
      </c>
      <c r="C47" s="81">
        <v>1373.5</v>
      </c>
      <c r="D47" s="81">
        <f>F47*1000/C47</f>
        <v>4001.4088096104842</v>
      </c>
      <c r="E47" s="81">
        <v>2717.08</v>
      </c>
      <c r="F47" s="81">
        <v>5495.9350000000004</v>
      </c>
      <c r="G47" s="91">
        <v>117.1242623755961</v>
      </c>
      <c r="H47" s="81">
        <f>SUM(E47:G47)</f>
        <v>8330.1392623755946</v>
      </c>
      <c r="I47" s="81"/>
      <c r="J47" s="81">
        <v>3099</v>
      </c>
      <c r="K47" s="81">
        <f>1.333*486.398</f>
        <v>648.36853400000007</v>
      </c>
      <c r="L47" s="83">
        <f>N47-J47-K47-M47</f>
        <v>962.05385708653807</v>
      </c>
      <c r="M47" s="83">
        <v>1199.6268712890562</v>
      </c>
      <c r="N47" s="81">
        <f>H47-O47</f>
        <v>5909.0492623755945</v>
      </c>
      <c r="O47" s="81">
        <v>2421.09</v>
      </c>
    </row>
    <row r="48" spans="1:15" ht="16.2">
      <c r="A48" s="34" t="s">
        <v>134</v>
      </c>
      <c r="B48" s="81">
        <v>1432.7</v>
      </c>
      <c r="C48" s="81">
        <v>1389.7</v>
      </c>
      <c r="D48" s="81">
        <f>F48*1000/C48</f>
        <v>3933.5734331150607</v>
      </c>
      <c r="E48" s="81">
        <f>O47</f>
        <v>2421.09</v>
      </c>
      <c r="F48" s="81">
        <v>5466.4870000000001</v>
      </c>
      <c r="G48" s="91">
        <v>113.761</v>
      </c>
      <c r="H48" s="81">
        <f>SUM(E48:G48)</f>
        <v>8001.3380000000006</v>
      </c>
      <c r="I48" s="81"/>
      <c r="J48" s="81">
        <v>3214.3</v>
      </c>
      <c r="K48" s="81">
        <f>1.333*580.628</f>
        <v>773.977124</v>
      </c>
      <c r="L48" s="83">
        <f>N48-J48-K48-M48</f>
        <v>287.33884758693694</v>
      </c>
      <c r="M48" s="83">
        <v>1607.5340284130634</v>
      </c>
      <c r="N48" s="81">
        <f>H48-O48</f>
        <v>5883.1500000000005</v>
      </c>
      <c r="O48" s="81">
        <f>2118.188</f>
        <v>2118.1880000000001</v>
      </c>
    </row>
    <row r="49" spans="1:15" ht="16.2">
      <c r="A49" s="33" t="s">
        <v>146</v>
      </c>
      <c r="B49" s="84">
        <v>1664.2</v>
      </c>
      <c r="C49" s="84">
        <v>1615.8</v>
      </c>
      <c r="D49" s="84">
        <f>F49*1000/C49</f>
        <v>3796.2000247555393</v>
      </c>
      <c r="E49" s="84">
        <f>O48</f>
        <v>2118.1880000000001</v>
      </c>
      <c r="F49" s="84">
        <v>6133.9</v>
      </c>
      <c r="G49" s="87">
        <v>115</v>
      </c>
      <c r="H49" s="84">
        <f>SUM(E49:G49)</f>
        <v>8367.0879999999997</v>
      </c>
      <c r="I49" s="84"/>
      <c r="J49" s="84">
        <v>3323</v>
      </c>
      <c r="K49" s="84">
        <v>800</v>
      </c>
      <c r="L49" s="87">
        <f>N49-J49-K49-M49</f>
        <v>752.08799999999974</v>
      </c>
      <c r="M49" s="87">
        <v>1500</v>
      </c>
      <c r="N49" s="84">
        <f>H49-O49</f>
        <v>6375.0879999999997</v>
      </c>
      <c r="O49" s="84">
        <v>1992</v>
      </c>
    </row>
    <row r="50" spans="1:15" ht="16.2">
      <c r="A50" s="74" t="s">
        <v>103</v>
      </c>
      <c r="B50" s="34"/>
      <c r="C50" s="49"/>
      <c r="D50" s="49"/>
      <c r="E50" s="49"/>
      <c r="F50" s="49"/>
      <c r="G50" s="49"/>
      <c r="H50" s="49"/>
      <c r="I50" s="34"/>
      <c r="J50" s="34"/>
      <c r="K50" s="34"/>
      <c r="L50" s="34"/>
      <c r="M50" s="34"/>
      <c r="N50" s="34"/>
      <c r="O50" s="34"/>
    </row>
    <row r="51" spans="1:15" ht="14.4">
      <c r="A51" s="34" t="s">
        <v>148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4.4">
      <c r="A52" s="34" t="s">
        <v>151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3.8">
      <c r="A53" s="38" t="s">
        <v>20</v>
      </c>
      <c r="B53" s="134">
        <f ca="1">NOW()</f>
        <v>44266.328958333332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.6">
      <c r="G54" s="14"/>
      <c r="H54" s="14"/>
    </row>
    <row r="55" spans="1:15" ht="15.6">
      <c r="G55" s="14"/>
      <c r="H55" s="14"/>
    </row>
    <row r="56" spans="1:15" ht="15.6">
      <c r="G56" s="14"/>
      <c r="H56" s="14"/>
    </row>
    <row r="57" spans="1:15" ht="15.6">
      <c r="G57" s="14"/>
      <c r="H57" s="14"/>
    </row>
  </sheetData>
  <mergeCells count="14">
    <mergeCell ref="G2:J2"/>
    <mergeCell ref="G16:I16"/>
    <mergeCell ref="B16:E16"/>
    <mergeCell ref="B2:E2"/>
    <mergeCell ref="B29:E29"/>
    <mergeCell ref="G29:I29"/>
    <mergeCell ref="B5:K5"/>
    <mergeCell ref="B42:C42"/>
    <mergeCell ref="B45:C45"/>
    <mergeCell ref="B32:J32"/>
    <mergeCell ref="B19:J19"/>
    <mergeCell ref="E45:O45"/>
    <mergeCell ref="E42:H42"/>
    <mergeCell ref="J42:N42"/>
  </mergeCells>
  <phoneticPr fontId="3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1"/>
  <sheetViews>
    <sheetView showGridLines="0" topLeftCell="A4" zoomScale="80" zoomScaleNormal="80" workbookViewId="0">
      <selection activeCell="C39" sqref="C39"/>
    </sheetView>
  </sheetViews>
  <sheetFormatPr defaultRowHeight="13.2"/>
  <cols>
    <col min="1" max="1" width="11.77734375" customWidth="1"/>
    <col min="2" max="2" width="18.88671875" bestFit="1" customWidth="1"/>
    <col min="3" max="3" width="22.109375" bestFit="1" customWidth="1"/>
    <col min="4" max="5" width="25.77734375" bestFit="1" customWidth="1"/>
    <col min="6" max="6" width="16.6640625" bestFit="1" customWidth="1"/>
    <col min="7" max="7" width="18.88671875" bestFit="1" customWidth="1"/>
  </cols>
  <sheetData>
    <row r="1" spans="1:11" ht="15.6" customHeight="1">
      <c r="A1" s="33" t="s">
        <v>44</v>
      </c>
      <c r="B1" s="33"/>
      <c r="C1" s="33"/>
      <c r="D1" s="33"/>
      <c r="E1" s="33"/>
      <c r="F1" s="33"/>
      <c r="G1" s="33"/>
      <c r="H1" s="1"/>
      <c r="I1" s="1"/>
      <c r="J1" s="1"/>
      <c r="K1" s="1"/>
    </row>
    <row r="2" spans="1:11" ht="15.6" customHeight="1">
      <c r="A2" s="37" t="s">
        <v>11</v>
      </c>
      <c r="B2" s="75" t="s">
        <v>105</v>
      </c>
      <c r="C2" s="75" t="s">
        <v>106</v>
      </c>
      <c r="D2" s="75" t="s">
        <v>107</v>
      </c>
      <c r="E2" s="75" t="s">
        <v>108</v>
      </c>
      <c r="F2" s="75" t="s">
        <v>109</v>
      </c>
      <c r="G2" s="75" t="s">
        <v>110</v>
      </c>
      <c r="H2" s="1"/>
      <c r="I2" s="1"/>
      <c r="J2" s="1"/>
      <c r="K2" s="1"/>
    </row>
    <row r="3" spans="1:11" ht="15.6" customHeight="1">
      <c r="A3" s="33" t="s">
        <v>12</v>
      </c>
      <c r="B3" s="42"/>
      <c r="C3" s="94"/>
      <c r="D3" s="94"/>
      <c r="E3" s="94"/>
      <c r="F3" s="94"/>
      <c r="G3" s="94"/>
      <c r="H3" s="1"/>
      <c r="I3" s="1"/>
      <c r="J3" s="1"/>
      <c r="K3" s="2"/>
    </row>
    <row r="4" spans="1:11" ht="14.4">
      <c r="A4" s="95"/>
      <c r="B4" s="96" t="s">
        <v>231</v>
      </c>
      <c r="C4" s="96" t="s">
        <v>232</v>
      </c>
      <c r="D4" s="96" t="s">
        <v>234</v>
      </c>
      <c r="E4" s="96" t="s">
        <v>234</v>
      </c>
      <c r="F4" s="96" t="s">
        <v>233</v>
      </c>
      <c r="G4" s="96" t="s">
        <v>231</v>
      </c>
      <c r="H4" s="1"/>
      <c r="I4" s="2"/>
      <c r="J4" s="2"/>
      <c r="K4" s="2"/>
    </row>
    <row r="5" spans="1:11" ht="13.8">
      <c r="A5" s="34"/>
      <c r="B5" s="34"/>
      <c r="C5" s="34"/>
      <c r="D5" s="36"/>
      <c r="E5" s="34"/>
      <c r="F5" s="34"/>
      <c r="G5" s="34"/>
      <c r="H5" s="1"/>
      <c r="I5" s="1"/>
      <c r="J5" s="1"/>
      <c r="K5" s="1"/>
    </row>
    <row r="6" spans="1:11" ht="13.8">
      <c r="A6" s="34" t="s">
        <v>47</v>
      </c>
      <c r="B6" s="97">
        <v>11.3</v>
      </c>
      <c r="C6" s="97">
        <v>161</v>
      </c>
      <c r="D6" s="97">
        <v>23.3</v>
      </c>
      <c r="E6" s="97">
        <v>19.3</v>
      </c>
      <c r="F6" s="97">
        <v>22.5</v>
      </c>
      <c r="G6" s="97">
        <v>12.2</v>
      </c>
      <c r="H6" s="1"/>
      <c r="I6" s="3"/>
      <c r="J6" s="3"/>
      <c r="K6" s="3"/>
    </row>
    <row r="7" spans="1:11" ht="13.8">
      <c r="A7" s="34" t="s">
        <v>58</v>
      </c>
      <c r="B7" s="97">
        <v>12.5</v>
      </c>
      <c r="C7" s="97">
        <v>260</v>
      </c>
      <c r="D7" s="97">
        <v>29.1</v>
      </c>
      <c r="E7" s="97">
        <v>24</v>
      </c>
      <c r="F7" s="97">
        <v>31.8</v>
      </c>
      <c r="G7" s="97">
        <v>13.9</v>
      </c>
      <c r="H7" s="1"/>
      <c r="I7" s="3"/>
      <c r="J7" s="3"/>
      <c r="K7" s="3"/>
    </row>
    <row r="8" spans="1:11" ht="13.8">
      <c r="A8" s="34" t="s">
        <v>74</v>
      </c>
      <c r="B8" s="97">
        <v>14.4</v>
      </c>
      <c r="C8" s="97">
        <v>252</v>
      </c>
      <c r="D8" s="97">
        <v>25.4</v>
      </c>
      <c r="E8" s="97">
        <v>26.5</v>
      </c>
      <c r="F8" s="97">
        <v>30.1</v>
      </c>
      <c r="G8" s="97">
        <v>13.8</v>
      </c>
      <c r="H8" s="1"/>
      <c r="I8" s="3"/>
      <c r="J8" s="3"/>
      <c r="K8" s="3"/>
    </row>
    <row r="9" spans="1:11" ht="13.8">
      <c r="A9" s="34" t="s">
        <v>81</v>
      </c>
      <c r="B9" s="97">
        <v>13</v>
      </c>
      <c r="C9" s="97">
        <v>246</v>
      </c>
      <c r="D9" s="97">
        <v>21.4</v>
      </c>
      <c r="E9" s="97">
        <v>20.6</v>
      </c>
      <c r="F9" s="97">
        <v>24.9</v>
      </c>
      <c r="G9" s="97">
        <v>13.8</v>
      </c>
      <c r="H9" s="1"/>
      <c r="I9" s="3"/>
      <c r="J9" s="3"/>
      <c r="K9" s="3"/>
    </row>
    <row r="10" spans="1:11" ht="13.8">
      <c r="A10" s="34" t="s">
        <v>84</v>
      </c>
      <c r="B10" s="97">
        <v>10.1</v>
      </c>
      <c r="C10" s="97">
        <v>194</v>
      </c>
      <c r="D10" s="97">
        <v>21.7</v>
      </c>
      <c r="E10" s="97">
        <v>16.899999999999999</v>
      </c>
      <c r="F10" s="97">
        <v>22</v>
      </c>
      <c r="G10" s="97">
        <v>11.8</v>
      </c>
      <c r="H10" s="1"/>
      <c r="I10" s="3"/>
      <c r="J10" s="3"/>
      <c r="K10" s="3"/>
    </row>
    <row r="11" spans="1:11" ht="13.8">
      <c r="A11" s="34" t="s">
        <v>85</v>
      </c>
      <c r="B11" s="97">
        <v>8.9499999999999993</v>
      </c>
      <c r="C11" s="97">
        <v>227</v>
      </c>
      <c r="D11" s="97">
        <v>19.600000000000001</v>
      </c>
      <c r="E11" s="97">
        <v>15.6</v>
      </c>
      <c r="F11" s="97">
        <v>19.3</v>
      </c>
      <c r="G11" s="97">
        <v>8.9499999999999993</v>
      </c>
      <c r="H11" s="1"/>
      <c r="I11" s="3"/>
      <c r="J11" s="3"/>
      <c r="K11" s="3"/>
    </row>
    <row r="12" spans="1:11" ht="13.8">
      <c r="A12" s="34" t="s">
        <v>97</v>
      </c>
      <c r="B12" s="97">
        <v>9.4700000000000006</v>
      </c>
      <c r="C12" s="97">
        <v>195</v>
      </c>
      <c r="D12" s="97">
        <v>17.399999999999999</v>
      </c>
      <c r="E12" s="97">
        <v>16.600000000000001</v>
      </c>
      <c r="F12" s="97">
        <v>19.7</v>
      </c>
      <c r="G12" s="97">
        <v>8</v>
      </c>
      <c r="H12" s="1"/>
      <c r="I12" s="3"/>
      <c r="J12" s="3"/>
      <c r="K12" s="3"/>
    </row>
    <row r="13" spans="1:11" ht="13.8">
      <c r="A13" s="34" t="s">
        <v>99</v>
      </c>
      <c r="B13" s="97">
        <v>9.33</v>
      </c>
      <c r="C13" s="97">
        <v>142</v>
      </c>
      <c r="D13" s="97">
        <v>17.2</v>
      </c>
      <c r="E13" s="97">
        <v>17.5</v>
      </c>
      <c r="F13" s="97">
        <v>22.9</v>
      </c>
      <c r="G13" s="97">
        <v>9.5299999999999994</v>
      </c>
      <c r="H13" s="1"/>
      <c r="I13" s="3"/>
      <c r="J13" s="3"/>
      <c r="K13" s="3"/>
    </row>
    <row r="14" spans="1:11" ht="13.8">
      <c r="A14" s="34" t="s">
        <v>131</v>
      </c>
      <c r="B14" s="97">
        <v>8.48</v>
      </c>
      <c r="C14" s="97">
        <v>155</v>
      </c>
      <c r="D14" s="97">
        <v>17.399999999999999</v>
      </c>
      <c r="E14" s="97">
        <v>15.8</v>
      </c>
      <c r="F14" s="97">
        <v>21.5</v>
      </c>
      <c r="G14" s="97">
        <v>9.89</v>
      </c>
      <c r="H14" s="1"/>
      <c r="I14" s="7"/>
      <c r="J14" s="3"/>
      <c r="K14" s="3"/>
    </row>
    <row r="15" spans="1:11" ht="13.8">
      <c r="A15" s="34" t="s">
        <v>135</v>
      </c>
      <c r="B15" s="97">
        <v>8.57</v>
      </c>
      <c r="C15" s="97">
        <v>161</v>
      </c>
      <c r="D15" s="97">
        <v>19.5</v>
      </c>
      <c r="E15" s="97">
        <v>14.8</v>
      </c>
      <c r="F15" s="97">
        <v>20.5</v>
      </c>
      <c r="G15" s="97">
        <v>9.15</v>
      </c>
      <c r="H15" s="1"/>
      <c r="I15" s="7"/>
      <c r="J15" s="3"/>
      <c r="K15" s="3"/>
    </row>
    <row r="16" spans="1:11" ht="16.2">
      <c r="A16" s="34" t="s">
        <v>147</v>
      </c>
      <c r="B16" s="97">
        <v>11.15</v>
      </c>
      <c r="C16" s="97">
        <v>190</v>
      </c>
      <c r="D16" s="97">
        <v>19.7</v>
      </c>
      <c r="E16" s="97">
        <v>17.25</v>
      </c>
      <c r="F16" s="97">
        <v>21.5</v>
      </c>
      <c r="G16" s="97">
        <v>10.3</v>
      </c>
      <c r="H16" s="1"/>
      <c r="I16" s="7"/>
      <c r="J16" s="3"/>
      <c r="K16" s="3"/>
    </row>
    <row r="17" spans="1:11" ht="13.8">
      <c r="A17" s="37"/>
      <c r="B17" s="99"/>
      <c r="C17" s="100"/>
      <c r="D17" s="101"/>
      <c r="E17" s="101"/>
      <c r="F17" s="98"/>
      <c r="G17" s="102"/>
      <c r="H17" s="3"/>
      <c r="I17" s="7"/>
      <c r="J17" s="3"/>
      <c r="K17" s="3"/>
    </row>
    <row r="18" spans="1:11" ht="13.8">
      <c r="A18" s="60" t="s">
        <v>135</v>
      </c>
      <c r="B18" s="97"/>
      <c r="C18" s="97"/>
      <c r="D18" s="97"/>
      <c r="E18" s="97"/>
      <c r="F18" s="97"/>
      <c r="G18" s="97"/>
    </row>
    <row r="19" spans="1:11" ht="13.8">
      <c r="A19" s="37" t="s">
        <v>62</v>
      </c>
      <c r="B19" s="97">
        <v>8.35</v>
      </c>
      <c r="C19" s="97">
        <v>148</v>
      </c>
      <c r="D19" s="97">
        <v>18.5</v>
      </c>
      <c r="E19" s="97">
        <v>14.2</v>
      </c>
      <c r="F19" s="97">
        <v>19.8</v>
      </c>
      <c r="G19" s="97">
        <v>8.84</v>
      </c>
    </row>
    <row r="20" spans="1:11" ht="13.8">
      <c r="A20" s="37" t="s">
        <v>49</v>
      </c>
      <c r="B20" s="97">
        <v>8.6</v>
      </c>
      <c r="C20" s="97">
        <v>152</v>
      </c>
      <c r="D20" s="97">
        <v>17.5</v>
      </c>
      <c r="E20" s="97">
        <v>14.2</v>
      </c>
      <c r="F20" s="97">
        <v>20.399999999999999</v>
      </c>
      <c r="G20" s="97">
        <v>9.01</v>
      </c>
    </row>
    <row r="21" spans="1:11" ht="13.8">
      <c r="A21" s="37" t="s">
        <v>50</v>
      </c>
      <c r="B21" s="97">
        <v>8.59</v>
      </c>
      <c r="C21" s="97">
        <v>162</v>
      </c>
      <c r="D21" s="97">
        <v>17.7</v>
      </c>
      <c r="E21" s="97">
        <v>14.3</v>
      </c>
      <c r="F21" s="97">
        <v>19.2</v>
      </c>
      <c r="G21" s="97">
        <v>8.6999999999999993</v>
      </c>
    </row>
    <row r="22" spans="1:11" ht="13.8">
      <c r="A22" s="37" t="s">
        <v>51</v>
      </c>
      <c r="B22" s="97">
        <v>8.6999999999999993</v>
      </c>
      <c r="C22" s="97">
        <v>163</v>
      </c>
      <c r="D22" s="97">
        <v>17.8</v>
      </c>
      <c r="E22" s="97">
        <v>14.7</v>
      </c>
      <c r="F22" s="97">
        <v>19.600000000000001</v>
      </c>
      <c r="G22" s="97">
        <v>8.91</v>
      </c>
    </row>
    <row r="23" spans="1:11" ht="13.8">
      <c r="A23" s="37" t="s">
        <v>52</v>
      </c>
      <c r="B23" s="97">
        <v>8.84</v>
      </c>
      <c r="C23" s="97">
        <v>161</v>
      </c>
      <c r="D23" s="97">
        <v>19.5</v>
      </c>
      <c r="E23" s="97">
        <v>16.100000000000001</v>
      </c>
      <c r="F23" s="97">
        <v>20.9</v>
      </c>
      <c r="G23" s="97">
        <v>8.9700000000000006</v>
      </c>
    </row>
    <row r="24" spans="1:11" ht="13.8">
      <c r="A24" s="37" t="s">
        <v>53</v>
      </c>
      <c r="B24" s="97">
        <v>8.6</v>
      </c>
      <c r="C24" s="97">
        <v>190</v>
      </c>
      <c r="D24" s="97">
        <v>20.399999999999999</v>
      </c>
      <c r="E24" s="97">
        <v>16.100000000000001</v>
      </c>
      <c r="F24" s="97">
        <v>20.5</v>
      </c>
      <c r="G24" s="97">
        <v>10.4</v>
      </c>
    </row>
    <row r="25" spans="1:11" ht="13.8">
      <c r="A25" s="37" t="s">
        <v>54</v>
      </c>
      <c r="B25" s="97">
        <v>8.4700000000000006</v>
      </c>
      <c r="C25" s="97" t="s">
        <v>10</v>
      </c>
      <c r="D25" s="97">
        <v>20.9</v>
      </c>
      <c r="E25" s="97">
        <v>15.7</v>
      </c>
      <c r="F25" s="97">
        <v>20.6</v>
      </c>
      <c r="G25" s="97">
        <v>10.7</v>
      </c>
    </row>
    <row r="26" spans="1:11" ht="13.8">
      <c r="A26" s="37" t="s">
        <v>55</v>
      </c>
      <c r="B26" s="97">
        <v>8.35</v>
      </c>
      <c r="C26" s="97" t="s">
        <v>10</v>
      </c>
      <c r="D26" s="97">
        <v>20.3</v>
      </c>
      <c r="E26" s="97">
        <v>15.2</v>
      </c>
      <c r="F26" s="97">
        <v>20.6</v>
      </c>
      <c r="G26" s="97">
        <v>9.31</v>
      </c>
    </row>
    <row r="27" spans="1:11" ht="13.8">
      <c r="A27" s="37" t="s">
        <v>56</v>
      </c>
      <c r="B27" s="97">
        <v>8.2799999999999994</v>
      </c>
      <c r="C27" s="97" t="s">
        <v>10</v>
      </c>
      <c r="D27" s="97">
        <v>20.5</v>
      </c>
      <c r="E27" s="97">
        <v>14.4</v>
      </c>
      <c r="F27" s="97">
        <v>21.1</v>
      </c>
      <c r="G27" s="97">
        <v>9.57</v>
      </c>
    </row>
    <row r="28" spans="1:11" ht="13.8">
      <c r="A28" s="37" t="s">
        <v>57</v>
      </c>
      <c r="B28" s="97">
        <v>8.34</v>
      </c>
      <c r="C28" s="97" t="s">
        <v>10</v>
      </c>
      <c r="D28" s="97">
        <v>21.7</v>
      </c>
      <c r="E28" s="97">
        <v>15.2</v>
      </c>
      <c r="F28" s="97">
        <v>20.7</v>
      </c>
      <c r="G28" s="97">
        <v>10</v>
      </c>
    </row>
    <row r="29" spans="1:11" ht="13.8">
      <c r="A29" s="37" t="s">
        <v>59</v>
      </c>
      <c r="B29" s="97">
        <v>8.5</v>
      </c>
      <c r="C29" s="97" t="s">
        <v>10</v>
      </c>
      <c r="D29" s="97">
        <v>23.7</v>
      </c>
      <c r="E29" s="97">
        <v>15.5</v>
      </c>
      <c r="F29" s="97">
        <v>20.7</v>
      </c>
      <c r="G29" s="97">
        <v>9.64</v>
      </c>
    </row>
    <row r="30" spans="1:11" ht="13.8">
      <c r="A30" s="37" t="s">
        <v>60</v>
      </c>
      <c r="B30" s="97">
        <v>8.66</v>
      </c>
      <c r="C30" s="97">
        <v>155</v>
      </c>
      <c r="D30" s="97">
        <v>25.8</v>
      </c>
      <c r="E30" s="97">
        <v>15.1</v>
      </c>
      <c r="F30" s="97">
        <v>20.6</v>
      </c>
      <c r="G30" s="97">
        <v>8.56</v>
      </c>
    </row>
    <row r="31" spans="1:11" ht="13.8">
      <c r="A31" s="37"/>
      <c r="B31" s="97"/>
      <c r="C31" s="97"/>
      <c r="D31" s="97"/>
      <c r="E31" s="97"/>
      <c r="F31" s="97"/>
      <c r="G31" s="97"/>
    </row>
    <row r="32" spans="1:11" ht="13.8">
      <c r="A32" s="60" t="s">
        <v>155</v>
      </c>
      <c r="B32" s="97"/>
      <c r="C32" s="97"/>
      <c r="D32" s="97"/>
      <c r="E32" s="97"/>
      <c r="F32" s="97"/>
      <c r="G32" s="97"/>
    </row>
    <row r="33" spans="1:7" ht="13.8">
      <c r="A33" s="37" t="s">
        <v>62</v>
      </c>
      <c r="B33" s="97">
        <v>9.24</v>
      </c>
      <c r="C33" s="97">
        <v>160</v>
      </c>
      <c r="D33" s="97">
        <v>23.7</v>
      </c>
      <c r="E33" s="97">
        <v>16.399999999999999</v>
      </c>
      <c r="F33" s="97">
        <v>20.5</v>
      </c>
      <c r="G33" s="97">
        <v>9.64</v>
      </c>
    </row>
    <row r="34" spans="1:7" ht="13.8">
      <c r="A34" s="37" t="s">
        <v>49</v>
      </c>
      <c r="B34" s="97">
        <v>9.6300000000000008</v>
      </c>
      <c r="C34" s="97">
        <v>189</v>
      </c>
      <c r="D34" s="97">
        <v>19.100000000000001</v>
      </c>
      <c r="E34" s="97">
        <v>16.2</v>
      </c>
      <c r="F34" s="97">
        <v>20.9</v>
      </c>
      <c r="G34" s="97">
        <v>9.76</v>
      </c>
    </row>
    <row r="35" spans="1:7" ht="13.8">
      <c r="A35" s="37" t="s">
        <v>50</v>
      </c>
      <c r="B35" s="97">
        <v>10.3</v>
      </c>
      <c r="C35" s="97">
        <v>199</v>
      </c>
      <c r="D35" s="97">
        <v>18.899999999999999</v>
      </c>
      <c r="E35" s="97">
        <v>18.100000000000001</v>
      </c>
      <c r="F35" s="97">
        <v>21.2</v>
      </c>
      <c r="G35" s="97">
        <v>10.7</v>
      </c>
    </row>
    <row r="36" spans="1:7" ht="13.8">
      <c r="A36" s="37" t="s">
        <v>51</v>
      </c>
      <c r="B36" s="97">
        <v>10.5</v>
      </c>
      <c r="C36" s="97">
        <v>195</v>
      </c>
      <c r="D36" s="97">
        <v>19.2</v>
      </c>
      <c r="E36" s="97">
        <v>17.2</v>
      </c>
      <c r="F36" s="97">
        <v>20.399999999999999</v>
      </c>
      <c r="G36" s="97">
        <v>10.9</v>
      </c>
    </row>
    <row r="37" spans="1:7" ht="13.8">
      <c r="A37" s="33" t="s">
        <v>52</v>
      </c>
      <c r="B37" s="103">
        <v>10.9</v>
      </c>
      <c r="C37" s="103">
        <v>161</v>
      </c>
      <c r="D37" s="103">
        <v>19.600000000000001</v>
      </c>
      <c r="E37" s="103">
        <v>18.8</v>
      </c>
      <c r="F37" s="103">
        <v>20.5</v>
      </c>
      <c r="G37" s="103">
        <v>12</v>
      </c>
    </row>
    <row r="38" spans="1:7" ht="16.2">
      <c r="A38" s="34" t="s">
        <v>111</v>
      </c>
      <c r="B38" s="34"/>
      <c r="C38" s="34"/>
      <c r="D38" s="34"/>
      <c r="E38" s="34"/>
      <c r="F38" s="34"/>
      <c r="G38" s="34"/>
    </row>
    <row r="39" spans="1:7" ht="13.8">
      <c r="A39" s="34" t="s">
        <v>48</v>
      </c>
      <c r="B39" s="104"/>
      <c r="C39" s="104"/>
      <c r="D39" s="104"/>
      <c r="E39" s="104"/>
      <c r="F39" s="104"/>
      <c r="G39" s="104"/>
    </row>
    <row r="40" spans="1:7" ht="14.4">
      <c r="A40" s="34" t="s">
        <v>112</v>
      </c>
      <c r="B40" s="34"/>
      <c r="C40" s="34"/>
      <c r="D40" s="34"/>
      <c r="E40" s="34"/>
      <c r="F40" s="34"/>
      <c r="G40" s="34"/>
    </row>
    <row r="41" spans="1:7" ht="13.8">
      <c r="A41" s="38" t="s">
        <v>20</v>
      </c>
      <c r="B41" s="66">
        <f ca="1">NOW()</f>
        <v>44266.328958333332</v>
      </c>
      <c r="C41" s="34"/>
      <c r="D41" s="34"/>
      <c r="E41" s="34"/>
      <c r="F41" s="34"/>
      <c r="G41" s="34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1"/>
  <sheetViews>
    <sheetView showGridLines="0" zoomScaleNormal="100" workbookViewId="0">
      <selection activeCell="B5" sqref="B5"/>
    </sheetView>
  </sheetViews>
  <sheetFormatPr defaultRowHeight="13.2"/>
  <cols>
    <col min="1" max="2" width="11.77734375" customWidth="1"/>
    <col min="3" max="3" width="11.5546875" customWidth="1"/>
    <col min="4" max="4" width="13.77734375" customWidth="1"/>
    <col min="5" max="5" width="10.5546875" customWidth="1"/>
    <col min="6" max="7" width="10.77734375" customWidth="1"/>
    <col min="8" max="9" width="10.5546875" customWidth="1"/>
  </cols>
  <sheetData>
    <row r="1" spans="1:9" ht="13.8">
      <c r="A1" s="33" t="s">
        <v>18</v>
      </c>
      <c r="B1" s="33"/>
      <c r="C1" s="33"/>
      <c r="D1" s="33"/>
      <c r="E1" s="33"/>
      <c r="F1" s="33"/>
      <c r="G1" s="33"/>
      <c r="H1" s="33"/>
      <c r="I1" s="34"/>
    </row>
    <row r="2" spans="1:9" ht="15.6" customHeight="1">
      <c r="A2" s="105" t="s">
        <v>11</v>
      </c>
      <c r="B2" s="75" t="s">
        <v>38</v>
      </c>
      <c r="C2" s="75" t="s">
        <v>13</v>
      </c>
      <c r="D2" s="75" t="s">
        <v>73</v>
      </c>
      <c r="E2" s="106" t="s">
        <v>45</v>
      </c>
      <c r="F2" s="106" t="s">
        <v>39</v>
      </c>
      <c r="G2" s="75" t="s">
        <v>43</v>
      </c>
      <c r="H2" s="75" t="s">
        <v>113</v>
      </c>
      <c r="I2" s="107" t="s">
        <v>42</v>
      </c>
    </row>
    <row r="3" spans="1:9" ht="15.6" customHeight="1">
      <c r="A3" s="79" t="s">
        <v>12</v>
      </c>
      <c r="B3" s="41" t="s">
        <v>114</v>
      </c>
      <c r="C3" s="41" t="s">
        <v>115</v>
      </c>
      <c r="D3" s="41" t="s">
        <v>116</v>
      </c>
      <c r="E3" s="41" t="s">
        <v>116</v>
      </c>
      <c r="F3" s="41" t="s">
        <v>117</v>
      </c>
      <c r="G3" s="41" t="s">
        <v>118</v>
      </c>
      <c r="H3" s="41"/>
      <c r="I3" s="41" t="s">
        <v>119</v>
      </c>
    </row>
    <row r="4" spans="1:9" ht="14.4">
      <c r="A4" s="34"/>
      <c r="B4" s="53" t="s">
        <v>248</v>
      </c>
      <c r="C4" s="108"/>
      <c r="D4" s="108"/>
      <c r="E4" s="108"/>
      <c r="F4" s="108"/>
      <c r="G4" s="108"/>
      <c r="H4" s="108"/>
      <c r="I4" s="108"/>
    </row>
    <row r="5" spans="1:9" ht="13.8">
      <c r="A5" s="34"/>
      <c r="B5" s="34"/>
      <c r="C5" s="34"/>
      <c r="D5" s="34"/>
      <c r="E5" s="34"/>
      <c r="F5" s="34"/>
      <c r="G5" s="34"/>
      <c r="H5" s="34"/>
      <c r="I5" s="34"/>
    </row>
    <row r="6" spans="1:9" ht="13.8">
      <c r="A6" s="34" t="s">
        <v>47</v>
      </c>
      <c r="B6" s="97">
        <v>53.2</v>
      </c>
      <c r="C6" s="97">
        <v>54.5</v>
      </c>
      <c r="D6" s="97">
        <v>86.12</v>
      </c>
      <c r="E6" s="97">
        <v>58.68</v>
      </c>
      <c r="F6" s="97">
        <v>77.239999999999995</v>
      </c>
      <c r="G6" s="97">
        <v>60.76</v>
      </c>
      <c r="H6" s="97">
        <v>51.52</v>
      </c>
      <c r="I6" s="97">
        <v>51.34</v>
      </c>
    </row>
    <row r="7" spans="1:9" ht="13.8">
      <c r="A7" s="34" t="s">
        <v>58</v>
      </c>
      <c r="B7" s="97">
        <v>51.9</v>
      </c>
      <c r="C7" s="97">
        <v>53.22</v>
      </c>
      <c r="D7" s="97">
        <v>83.2</v>
      </c>
      <c r="E7" s="97">
        <v>57.19</v>
      </c>
      <c r="F7" s="97">
        <v>100.15</v>
      </c>
      <c r="G7" s="97">
        <v>56.09</v>
      </c>
      <c r="H7" s="97">
        <v>48.11</v>
      </c>
      <c r="I7" s="97">
        <v>50.33</v>
      </c>
    </row>
    <row r="8" spans="1:9" ht="13.8">
      <c r="A8" s="34" t="s">
        <v>74</v>
      </c>
      <c r="B8" s="97">
        <v>47.13</v>
      </c>
      <c r="C8" s="97">
        <v>48.6</v>
      </c>
      <c r="D8" s="97">
        <v>65.87</v>
      </c>
      <c r="E8" s="97">
        <v>56.17</v>
      </c>
      <c r="F8" s="97">
        <v>91.83</v>
      </c>
      <c r="G8" s="97">
        <v>46.66</v>
      </c>
      <c r="H8" s="97">
        <v>51.8</v>
      </c>
      <c r="I8" s="97">
        <v>43.24</v>
      </c>
    </row>
    <row r="9" spans="1:9" ht="13.8">
      <c r="A9" s="34" t="s">
        <v>81</v>
      </c>
      <c r="B9" s="97">
        <v>38.229999999999997</v>
      </c>
      <c r="C9" s="97">
        <v>60.66</v>
      </c>
      <c r="D9" s="97">
        <v>59.12</v>
      </c>
      <c r="E9" s="97">
        <v>43.7</v>
      </c>
      <c r="F9" s="97">
        <v>68.23</v>
      </c>
      <c r="G9" s="97">
        <v>39.43</v>
      </c>
      <c r="H9" s="97">
        <v>43.93</v>
      </c>
      <c r="I9" s="97">
        <v>39.76</v>
      </c>
    </row>
    <row r="10" spans="1:9" ht="13.8">
      <c r="A10" s="34" t="s">
        <v>84</v>
      </c>
      <c r="B10" s="97">
        <v>31.6</v>
      </c>
      <c r="C10" s="97">
        <v>45.74</v>
      </c>
      <c r="D10" s="97">
        <v>66.72</v>
      </c>
      <c r="E10" s="97">
        <v>37.81</v>
      </c>
      <c r="F10" s="97">
        <v>57.96</v>
      </c>
      <c r="G10" s="97">
        <v>37.479999999999997</v>
      </c>
      <c r="H10" s="97">
        <v>33.43</v>
      </c>
      <c r="I10" s="97">
        <v>31.36</v>
      </c>
    </row>
    <row r="11" spans="1:9" ht="13.8">
      <c r="A11" s="34" t="s">
        <v>85</v>
      </c>
      <c r="B11" s="97">
        <v>29.86</v>
      </c>
      <c r="C11" s="97">
        <v>45.87</v>
      </c>
      <c r="D11" s="97">
        <v>57.81</v>
      </c>
      <c r="E11" s="97">
        <v>35.270000000000003</v>
      </c>
      <c r="F11" s="97">
        <v>58.26</v>
      </c>
      <c r="G11" s="97">
        <v>39.25</v>
      </c>
      <c r="H11" s="97">
        <v>32.229999999999997</v>
      </c>
      <c r="I11" s="97">
        <v>30.07</v>
      </c>
    </row>
    <row r="12" spans="1:9" ht="13.8">
      <c r="A12" s="34" t="s">
        <v>97</v>
      </c>
      <c r="B12" s="97">
        <v>32.549999999999997</v>
      </c>
      <c r="C12" s="97">
        <v>40.92</v>
      </c>
      <c r="D12" s="97">
        <v>53.54</v>
      </c>
      <c r="E12" s="97">
        <v>38.729999999999997</v>
      </c>
      <c r="F12" s="97">
        <v>66.73</v>
      </c>
      <c r="G12" s="97">
        <v>37.43</v>
      </c>
      <c r="H12" s="97">
        <v>33.07</v>
      </c>
      <c r="I12" s="97">
        <v>34.75</v>
      </c>
    </row>
    <row r="13" spans="1:9" ht="13.8">
      <c r="A13" s="34" t="s">
        <v>99</v>
      </c>
      <c r="B13" s="97">
        <v>30.04</v>
      </c>
      <c r="C13" s="97">
        <v>31.87</v>
      </c>
      <c r="D13" s="97">
        <v>54.57</v>
      </c>
      <c r="E13" s="97">
        <v>38.270000000000003</v>
      </c>
      <c r="F13" s="97">
        <v>66.72</v>
      </c>
      <c r="G13" s="97">
        <v>30.35</v>
      </c>
      <c r="H13" s="97">
        <v>34.159999999999997</v>
      </c>
      <c r="I13" s="97">
        <v>31.21</v>
      </c>
    </row>
    <row r="14" spans="1:9" ht="13.8">
      <c r="A14" s="34" t="s">
        <v>131</v>
      </c>
      <c r="B14" s="97">
        <v>28.26</v>
      </c>
      <c r="C14" s="97">
        <v>35.14</v>
      </c>
      <c r="D14" s="97">
        <v>53.28</v>
      </c>
      <c r="E14" s="97">
        <v>36.090000000000003</v>
      </c>
      <c r="F14" s="97">
        <v>64.72</v>
      </c>
      <c r="G14" s="97">
        <v>26.93</v>
      </c>
      <c r="H14" s="97">
        <v>31.65</v>
      </c>
      <c r="I14" s="97">
        <v>33.11</v>
      </c>
    </row>
    <row r="15" spans="1:9" ht="16.2">
      <c r="A15" s="34" t="s">
        <v>133</v>
      </c>
      <c r="B15" s="97">
        <v>29.67</v>
      </c>
      <c r="C15" s="97">
        <v>40.18</v>
      </c>
      <c r="D15" s="97">
        <v>65.03</v>
      </c>
      <c r="E15" s="97">
        <v>37.869999999999997</v>
      </c>
      <c r="F15" s="97">
        <v>65.569999999999993</v>
      </c>
      <c r="G15" s="97">
        <v>39.47</v>
      </c>
      <c r="H15" s="97">
        <v>35.75</v>
      </c>
      <c r="I15" s="97">
        <v>38.369999999999997</v>
      </c>
    </row>
    <row r="16" spans="1:9" ht="16.2">
      <c r="A16" s="34" t="s">
        <v>147</v>
      </c>
      <c r="B16" s="97">
        <v>41</v>
      </c>
      <c r="C16" s="97">
        <v>58</v>
      </c>
      <c r="D16" s="97">
        <v>69</v>
      </c>
      <c r="E16" s="97">
        <v>51</v>
      </c>
      <c r="F16" s="97">
        <v>96</v>
      </c>
      <c r="G16" s="97">
        <v>44</v>
      </c>
      <c r="H16" s="97">
        <v>43.5</v>
      </c>
      <c r="I16" s="97">
        <v>39</v>
      </c>
    </row>
    <row r="17" spans="1:9" ht="13.8">
      <c r="A17" s="34"/>
      <c r="B17" s="50"/>
      <c r="C17" s="100"/>
      <c r="D17" s="109"/>
      <c r="E17" s="109"/>
      <c r="F17" s="109"/>
      <c r="G17" s="109"/>
      <c r="H17" s="34"/>
      <c r="I17" s="34"/>
    </row>
    <row r="18" spans="1:9" ht="13.8">
      <c r="A18" s="34" t="s">
        <v>135</v>
      </c>
      <c r="B18" s="97"/>
      <c r="C18" s="97"/>
      <c r="D18" s="97"/>
      <c r="E18" s="97"/>
      <c r="F18" s="97"/>
      <c r="G18" s="97"/>
      <c r="H18" s="97"/>
      <c r="I18" s="97"/>
    </row>
    <row r="19" spans="1:9" ht="13.8">
      <c r="A19" s="37" t="s">
        <v>49</v>
      </c>
      <c r="B19" s="97">
        <v>30.14</v>
      </c>
      <c r="C19" s="97">
        <v>37.94</v>
      </c>
      <c r="D19" s="97">
        <v>56</v>
      </c>
      <c r="E19" s="97">
        <v>36.31</v>
      </c>
      <c r="F19" s="97">
        <v>61.5</v>
      </c>
      <c r="G19" s="97">
        <v>28.3</v>
      </c>
      <c r="H19" s="97" t="s">
        <v>10</v>
      </c>
      <c r="I19" s="97" t="s">
        <v>10</v>
      </c>
    </row>
    <row r="20" spans="1:9" ht="13.8">
      <c r="A20" s="37" t="s">
        <v>50</v>
      </c>
      <c r="B20" s="97">
        <v>30.62</v>
      </c>
      <c r="C20" s="97">
        <v>38.4</v>
      </c>
      <c r="D20" s="97">
        <v>56</v>
      </c>
      <c r="E20" s="97">
        <v>36.15</v>
      </c>
      <c r="F20" s="97">
        <v>63.1</v>
      </c>
      <c r="G20" s="97">
        <v>30.36</v>
      </c>
      <c r="H20" s="97" t="s">
        <v>10</v>
      </c>
      <c r="I20" s="97">
        <v>35</v>
      </c>
    </row>
    <row r="21" spans="1:9" ht="13.8">
      <c r="A21" s="37" t="s">
        <v>51</v>
      </c>
      <c r="B21" s="97">
        <v>32.270000000000003</v>
      </c>
      <c r="C21" s="97">
        <v>40.25</v>
      </c>
      <c r="D21" s="97">
        <v>76</v>
      </c>
      <c r="E21" s="97">
        <v>38.06</v>
      </c>
      <c r="F21" s="97">
        <v>60.13</v>
      </c>
      <c r="G21" s="97">
        <v>31.25</v>
      </c>
      <c r="H21" s="97" t="s">
        <v>10</v>
      </c>
      <c r="I21" s="97" t="s">
        <v>10</v>
      </c>
    </row>
    <row r="22" spans="1:9" ht="13.8">
      <c r="A22" s="37" t="s">
        <v>52</v>
      </c>
      <c r="B22" s="97">
        <v>33.04</v>
      </c>
      <c r="C22" s="97">
        <v>40.1</v>
      </c>
      <c r="D22" s="97">
        <v>70</v>
      </c>
      <c r="E22" s="97">
        <v>37.9</v>
      </c>
      <c r="F22" s="97">
        <v>59</v>
      </c>
      <c r="G22" s="97">
        <v>33.299999999999997</v>
      </c>
      <c r="H22" s="97" t="s">
        <v>10</v>
      </c>
      <c r="I22" s="97">
        <v>36.14</v>
      </c>
    </row>
    <row r="23" spans="1:9" ht="13.8">
      <c r="A23" s="37" t="s">
        <v>53</v>
      </c>
      <c r="B23" s="97">
        <v>30.26</v>
      </c>
      <c r="C23" s="97">
        <v>38.5</v>
      </c>
      <c r="D23" s="97">
        <v>70</v>
      </c>
      <c r="E23" s="97">
        <v>35.5</v>
      </c>
      <c r="F23" s="97">
        <v>59</v>
      </c>
      <c r="G23" s="97">
        <v>36</v>
      </c>
      <c r="H23" s="97" t="s">
        <v>10</v>
      </c>
      <c r="I23" s="97">
        <v>38.21</v>
      </c>
    </row>
    <row r="24" spans="1:9" ht="13.8">
      <c r="A24" s="37" t="s">
        <v>54</v>
      </c>
      <c r="B24" s="97">
        <v>27.04</v>
      </c>
      <c r="C24" s="97">
        <v>36.19</v>
      </c>
      <c r="D24" s="97">
        <v>76</v>
      </c>
      <c r="E24" s="97">
        <v>32.880000000000003</v>
      </c>
      <c r="F24" s="97">
        <v>59.75</v>
      </c>
      <c r="G24" s="97">
        <v>36.94</v>
      </c>
      <c r="H24" s="97" t="s">
        <v>10</v>
      </c>
      <c r="I24" s="97">
        <v>35.5</v>
      </c>
    </row>
    <row r="25" spans="1:9" ht="13.8">
      <c r="A25" s="37" t="s">
        <v>55</v>
      </c>
      <c r="B25" s="97">
        <v>25.69</v>
      </c>
      <c r="C25" s="97">
        <v>37.31</v>
      </c>
      <c r="D25" s="97">
        <v>76</v>
      </c>
      <c r="E25" s="97">
        <v>32.380000000000003</v>
      </c>
      <c r="F25" s="97">
        <v>59.5</v>
      </c>
      <c r="G25" s="97">
        <v>44.88</v>
      </c>
      <c r="H25" s="97">
        <v>32</v>
      </c>
      <c r="I25" s="97">
        <v>37.18</v>
      </c>
    </row>
    <row r="26" spans="1:9" ht="13.8">
      <c r="A26" s="37" t="s">
        <v>56</v>
      </c>
      <c r="B26" s="97">
        <v>25.27</v>
      </c>
      <c r="C26" s="97">
        <v>37.200000000000003</v>
      </c>
      <c r="D26" s="97">
        <v>74</v>
      </c>
      <c r="E26" s="97">
        <v>32.4</v>
      </c>
      <c r="F26" s="97">
        <v>62.1</v>
      </c>
      <c r="G26" s="97">
        <v>47.64</v>
      </c>
      <c r="H26" s="97">
        <v>35.5</v>
      </c>
      <c r="I26" s="97">
        <v>43.95</v>
      </c>
    </row>
    <row r="27" spans="1:9" ht="13.8">
      <c r="A27" s="37" t="s">
        <v>57</v>
      </c>
      <c r="B27" s="97">
        <v>26.61</v>
      </c>
      <c r="C27" s="97">
        <v>36.75</v>
      </c>
      <c r="D27" s="97">
        <v>56</v>
      </c>
      <c r="E27" s="97">
        <v>36.630000000000003</v>
      </c>
      <c r="F27" s="97">
        <v>84.75</v>
      </c>
      <c r="G27" s="97">
        <v>51.34</v>
      </c>
      <c r="H27" s="97">
        <v>36.5</v>
      </c>
      <c r="I27" s="97">
        <v>41.92</v>
      </c>
    </row>
    <row r="28" spans="1:9" ht="13.8">
      <c r="A28" s="37" t="s">
        <v>59</v>
      </c>
      <c r="B28" s="97">
        <v>28.71</v>
      </c>
      <c r="C28" s="97">
        <v>43</v>
      </c>
      <c r="D28" s="97">
        <v>56.4</v>
      </c>
      <c r="E28" s="97">
        <v>40.5</v>
      </c>
      <c r="F28" s="97">
        <v>85</v>
      </c>
      <c r="G28" s="97">
        <v>45.45</v>
      </c>
      <c r="H28" s="97" t="s">
        <v>10</v>
      </c>
      <c r="I28" s="97">
        <v>39.43</v>
      </c>
    </row>
    <row r="29" spans="1:9" ht="13.8">
      <c r="A29" s="37" t="s">
        <v>60</v>
      </c>
      <c r="B29" s="97">
        <v>32.130000000000003</v>
      </c>
      <c r="C29" s="97">
        <v>46.81</v>
      </c>
      <c r="D29" s="97">
        <v>57</v>
      </c>
      <c r="E29" s="97">
        <v>47.81</v>
      </c>
      <c r="F29" s="97">
        <v>90</v>
      </c>
      <c r="G29" s="97">
        <v>44.75</v>
      </c>
      <c r="H29" s="97">
        <v>39</v>
      </c>
      <c r="I29" s="97">
        <v>39.33</v>
      </c>
    </row>
    <row r="30" spans="1:9" ht="13.8">
      <c r="A30" s="37" t="s">
        <v>62</v>
      </c>
      <c r="B30" s="97">
        <v>34.200000000000003</v>
      </c>
      <c r="C30" s="97">
        <v>49.69</v>
      </c>
      <c r="D30" s="97">
        <v>57</v>
      </c>
      <c r="E30" s="97">
        <v>47.94</v>
      </c>
      <c r="F30" s="97">
        <v>90</v>
      </c>
      <c r="G30" s="97">
        <v>43.38</v>
      </c>
      <c r="H30" s="97" t="s">
        <v>10</v>
      </c>
      <c r="I30" s="97">
        <v>37</v>
      </c>
    </row>
    <row r="31" spans="1:9" ht="13.8">
      <c r="A31" s="37"/>
      <c r="B31" s="97"/>
      <c r="C31" s="97"/>
      <c r="D31" s="97"/>
      <c r="E31" s="97"/>
      <c r="F31" s="97"/>
      <c r="G31" s="97"/>
      <c r="H31" s="97"/>
      <c r="I31" s="97"/>
    </row>
    <row r="32" spans="1:9" ht="13.8">
      <c r="A32" s="34" t="s">
        <v>155</v>
      </c>
      <c r="B32" s="97"/>
      <c r="C32" s="97"/>
      <c r="D32" s="97"/>
      <c r="E32" s="97"/>
      <c r="F32" s="97"/>
      <c r="G32" s="97"/>
      <c r="H32" s="97"/>
      <c r="I32" s="97"/>
    </row>
    <row r="33" spans="1:9" ht="13.8">
      <c r="A33" s="37" t="s">
        <v>49</v>
      </c>
      <c r="B33" s="97">
        <v>33.92</v>
      </c>
      <c r="C33" s="97">
        <v>48.35</v>
      </c>
      <c r="D33" s="97">
        <v>57</v>
      </c>
      <c r="E33" s="97">
        <v>44.35</v>
      </c>
      <c r="F33" s="97">
        <v>93</v>
      </c>
      <c r="G33" s="97">
        <v>43.15</v>
      </c>
      <c r="H33" s="97" t="s">
        <v>10</v>
      </c>
      <c r="I33" s="97">
        <v>35.57</v>
      </c>
    </row>
    <row r="34" spans="1:9" ht="13.8">
      <c r="A34" s="37" t="s">
        <v>50</v>
      </c>
      <c r="B34" s="97">
        <v>37.79</v>
      </c>
      <c r="C34" s="97">
        <v>54.44</v>
      </c>
      <c r="D34" s="97" t="s">
        <v>10</v>
      </c>
      <c r="E34" s="97">
        <v>49.5</v>
      </c>
      <c r="F34" s="97">
        <v>98.75</v>
      </c>
      <c r="G34" s="97">
        <v>42.53</v>
      </c>
      <c r="H34" s="97">
        <v>41</v>
      </c>
      <c r="I34" s="97">
        <v>33.5</v>
      </c>
    </row>
    <row r="35" spans="1:9" ht="13.8">
      <c r="A35" s="37" t="s">
        <v>51</v>
      </c>
      <c r="B35" s="97">
        <v>40.85</v>
      </c>
      <c r="C35" s="97">
        <v>59.2</v>
      </c>
      <c r="D35" s="97" t="s">
        <v>10</v>
      </c>
      <c r="E35" s="97">
        <v>51.65</v>
      </c>
      <c r="F35" s="97">
        <v>100</v>
      </c>
      <c r="G35" s="97">
        <v>41.48</v>
      </c>
      <c r="H35" s="97">
        <v>41</v>
      </c>
      <c r="I35" s="97">
        <v>36.380000000000003</v>
      </c>
    </row>
    <row r="36" spans="1:9" ht="13.8">
      <c r="A36" s="37" t="s">
        <v>52</v>
      </c>
      <c r="B36" s="97">
        <v>44.31</v>
      </c>
      <c r="C36" s="97">
        <v>63.19</v>
      </c>
      <c r="D36" s="97" t="s">
        <v>10</v>
      </c>
      <c r="E36" s="97">
        <v>53.31</v>
      </c>
      <c r="F36" s="97">
        <v>90</v>
      </c>
      <c r="G36" s="97">
        <v>44.23</v>
      </c>
      <c r="H36" s="97" t="s">
        <v>10</v>
      </c>
      <c r="I36" s="97">
        <v>47.02</v>
      </c>
    </row>
    <row r="37" spans="1:9" ht="13.8">
      <c r="A37" s="33" t="s">
        <v>53</v>
      </c>
      <c r="B37" s="103">
        <v>49.16</v>
      </c>
      <c r="C37" s="103">
        <v>75.5</v>
      </c>
      <c r="D37" s="103" t="s">
        <v>10</v>
      </c>
      <c r="E37" s="103">
        <v>59</v>
      </c>
      <c r="F37" s="103">
        <v>92</v>
      </c>
      <c r="G37" s="103">
        <v>44.64</v>
      </c>
      <c r="H37" s="103">
        <v>51</v>
      </c>
      <c r="I37" s="103">
        <v>54.5</v>
      </c>
    </row>
    <row r="38" spans="1:9" ht="16.2">
      <c r="A38" s="74" t="s">
        <v>235</v>
      </c>
      <c r="B38" s="110"/>
      <c r="C38" s="110"/>
      <c r="D38" s="110"/>
      <c r="E38" s="110"/>
      <c r="F38" s="110"/>
      <c r="G38" s="110"/>
      <c r="H38" s="110"/>
      <c r="I38" s="110"/>
    </row>
    <row r="39" spans="1:9" ht="16.2">
      <c r="A39" s="34" t="s">
        <v>128</v>
      </c>
      <c r="B39" s="110"/>
      <c r="C39" s="110"/>
      <c r="D39" s="110"/>
      <c r="E39" s="110"/>
      <c r="F39" s="110"/>
      <c r="G39" s="110"/>
      <c r="H39" s="110"/>
      <c r="I39" s="110"/>
    </row>
    <row r="40" spans="1:9" ht="14.4">
      <c r="A40" s="34" t="s">
        <v>150</v>
      </c>
      <c r="B40" s="34"/>
      <c r="C40" s="34"/>
      <c r="D40" s="34"/>
      <c r="E40" s="34"/>
      <c r="F40" s="110"/>
      <c r="G40" s="34"/>
      <c r="H40" s="34"/>
      <c r="I40" s="34"/>
    </row>
    <row r="41" spans="1:9" ht="13.8">
      <c r="A41" s="38" t="s">
        <v>20</v>
      </c>
      <c r="B41" s="66">
        <f ca="1">NOW()</f>
        <v>44266.328958217593</v>
      </c>
      <c r="C41" s="34"/>
      <c r="D41" s="34"/>
      <c r="E41" s="34"/>
      <c r="F41" s="34"/>
      <c r="G41" s="34"/>
      <c r="H41" s="34"/>
      <c r="I41" s="34"/>
    </row>
    <row r="42" spans="1:9" ht="15.6">
      <c r="C42" s="14"/>
      <c r="G42" s="14"/>
      <c r="H42" s="14"/>
      <c r="I42" s="14"/>
    </row>
    <row r="43" spans="1:9" ht="15.6">
      <c r="C43" s="14"/>
      <c r="G43" s="14"/>
      <c r="H43" s="14"/>
      <c r="I43" s="14"/>
    </row>
    <row r="44" spans="1:9" ht="15.6">
      <c r="C44" s="14"/>
      <c r="G44" s="14"/>
      <c r="H44" s="14"/>
      <c r="I44" s="14"/>
    </row>
    <row r="45" spans="1:9" ht="15.6">
      <c r="C45" s="14"/>
      <c r="G45" s="14"/>
      <c r="H45" s="14"/>
      <c r="I45" s="14"/>
    </row>
    <row r="46" spans="1:9" ht="15.6">
      <c r="C46" s="14"/>
      <c r="G46" s="14"/>
      <c r="H46" s="14"/>
      <c r="I46" s="14"/>
    </row>
    <row r="47" spans="1:9" ht="15.6">
      <c r="C47" s="14"/>
      <c r="G47" s="14"/>
      <c r="H47" s="14"/>
      <c r="I47" s="14"/>
    </row>
    <row r="48" spans="1:9" ht="15.6">
      <c r="C48" s="14"/>
      <c r="G48" s="14"/>
      <c r="H48" s="14"/>
      <c r="I48" s="14"/>
    </row>
    <row r="49" spans="3:9" ht="15.6">
      <c r="C49" s="14"/>
      <c r="G49" s="14"/>
      <c r="H49" s="14"/>
      <c r="I49" s="14"/>
    </row>
    <row r="50" spans="3:9" ht="15.6">
      <c r="C50" s="14"/>
      <c r="G50" s="14"/>
      <c r="H50" s="14"/>
      <c r="I50" s="14"/>
    </row>
    <row r="51" spans="3:9" ht="15.6">
      <c r="C51" s="14"/>
      <c r="G51" s="14"/>
      <c r="H51" s="14"/>
      <c r="I51" s="14"/>
    </row>
    <row r="52" spans="3:9" ht="15.6">
      <c r="C52" s="14"/>
      <c r="G52" s="14"/>
      <c r="H52" s="14"/>
      <c r="I52" s="14"/>
    </row>
    <row r="53" spans="3:9" ht="15.6">
      <c r="C53" s="14"/>
      <c r="G53" s="14"/>
      <c r="H53" s="14"/>
      <c r="I53" s="14"/>
    </row>
    <row r="54" spans="3:9" ht="15.6">
      <c r="C54" s="14"/>
      <c r="G54" s="14"/>
      <c r="H54" s="14"/>
      <c r="I54" s="14"/>
    </row>
    <row r="55" spans="3:9" ht="15.6">
      <c r="C55" s="14"/>
      <c r="G55" s="14"/>
      <c r="H55" s="14"/>
      <c r="I55" s="14"/>
    </row>
    <row r="56" spans="3:9" ht="15.6">
      <c r="C56" s="14"/>
      <c r="G56" s="14"/>
      <c r="H56" s="14"/>
      <c r="I56" s="14"/>
    </row>
    <row r="57" spans="3:9" ht="15.6">
      <c r="C57" s="14"/>
      <c r="G57" s="14"/>
      <c r="H57" s="14"/>
      <c r="I57" s="14"/>
    </row>
    <row r="58" spans="3:9" ht="15.6">
      <c r="C58" s="14"/>
      <c r="H58" s="14"/>
      <c r="I58" s="14"/>
    </row>
    <row r="59" spans="3:9" ht="15.6">
      <c r="C59" s="14"/>
      <c r="H59" s="14"/>
      <c r="I59" s="14"/>
    </row>
    <row r="60" spans="3:9" ht="15.6">
      <c r="C60" s="14"/>
      <c r="F60" s="16"/>
      <c r="H60" s="14"/>
      <c r="I60" s="14"/>
    </row>
    <row r="61" spans="3:9" ht="15.6">
      <c r="F61" s="16"/>
      <c r="H61" s="14"/>
      <c r="I61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3"/>
  <sheetViews>
    <sheetView showGridLines="0" zoomScaleNormal="100" workbookViewId="0">
      <selection activeCell="B5" sqref="B5"/>
    </sheetView>
  </sheetViews>
  <sheetFormatPr defaultRowHeight="13.2"/>
  <cols>
    <col min="1" max="1" width="11.77734375" customWidth="1"/>
    <col min="2" max="7" width="13.77734375" customWidth="1"/>
    <col min="8" max="8" width="10.109375" bestFit="1" customWidth="1"/>
  </cols>
  <sheetData>
    <row r="1" spans="1:7" ht="13.8">
      <c r="A1" s="33" t="s">
        <v>37</v>
      </c>
      <c r="B1" s="33"/>
      <c r="C1" s="33"/>
      <c r="D1" s="33"/>
      <c r="E1" s="33"/>
      <c r="F1" s="33"/>
      <c r="G1" s="33"/>
    </row>
    <row r="2" spans="1:7" ht="15.6" customHeight="1">
      <c r="A2" s="37" t="s">
        <v>11</v>
      </c>
      <c r="B2" s="75" t="s">
        <v>38</v>
      </c>
      <c r="C2" s="111" t="s">
        <v>13</v>
      </c>
      <c r="D2" s="111" t="s">
        <v>73</v>
      </c>
      <c r="E2" s="111" t="s">
        <v>39</v>
      </c>
      <c r="F2" s="75" t="s">
        <v>40</v>
      </c>
      <c r="G2" s="36" t="s">
        <v>41</v>
      </c>
    </row>
    <row r="3" spans="1:7" ht="15.6" customHeight="1">
      <c r="A3" s="33" t="s">
        <v>12</v>
      </c>
      <c r="B3" s="41" t="s">
        <v>120</v>
      </c>
      <c r="C3" s="41" t="s">
        <v>121</v>
      </c>
      <c r="D3" s="41" t="s">
        <v>122</v>
      </c>
      <c r="E3" s="41" t="s">
        <v>123</v>
      </c>
      <c r="F3" s="41" t="s">
        <v>124</v>
      </c>
      <c r="G3" s="41" t="s">
        <v>125</v>
      </c>
    </row>
    <row r="4" spans="1:7" ht="14.4">
      <c r="A4" s="34"/>
      <c r="B4" s="53" t="s">
        <v>249</v>
      </c>
      <c r="C4" s="108"/>
      <c r="D4" s="108"/>
      <c r="E4" s="108"/>
      <c r="F4" s="108"/>
      <c r="G4" s="108"/>
    </row>
    <row r="5" spans="1:7" ht="13.8">
      <c r="A5" s="34"/>
      <c r="B5" s="34"/>
      <c r="C5" s="34"/>
      <c r="D5" s="34"/>
      <c r="E5" s="34"/>
      <c r="F5" s="34"/>
      <c r="G5" s="34"/>
    </row>
    <row r="6" spans="1:7" ht="13.8">
      <c r="A6" s="34" t="s">
        <v>47</v>
      </c>
      <c r="B6" s="97">
        <v>345.52</v>
      </c>
      <c r="C6" s="97">
        <v>273.83999999999997</v>
      </c>
      <c r="D6" s="97">
        <v>219.72</v>
      </c>
      <c r="E6" s="112" t="s">
        <v>10</v>
      </c>
      <c r="F6" s="97">
        <v>263.63</v>
      </c>
      <c r="G6" s="97">
        <v>240.65</v>
      </c>
    </row>
    <row r="7" spans="1:7" ht="13.8">
      <c r="A7" s="34" t="s">
        <v>58</v>
      </c>
      <c r="B7" s="97">
        <v>393.53</v>
      </c>
      <c r="C7" s="97">
        <v>275.13</v>
      </c>
      <c r="D7" s="97">
        <v>246.75</v>
      </c>
      <c r="E7" s="112" t="s">
        <v>10</v>
      </c>
      <c r="F7" s="97">
        <v>307.58999999999997</v>
      </c>
      <c r="G7" s="97">
        <v>265.68</v>
      </c>
    </row>
    <row r="8" spans="1:7" ht="13.8">
      <c r="A8" s="34" t="s">
        <v>74</v>
      </c>
      <c r="B8" s="97">
        <v>468.11</v>
      </c>
      <c r="C8" s="97">
        <v>331.52</v>
      </c>
      <c r="D8" s="97">
        <v>241.57</v>
      </c>
      <c r="E8" s="112" t="s">
        <v>10</v>
      </c>
      <c r="F8" s="97">
        <v>354.22</v>
      </c>
      <c r="G8" s="97">
        <v>329.31</v>
      </c>
    </row>
    <row r="9" spans="1:7" ht="13.8">
      <c r="A9" s="34" t="s">
        <v>81</v>
      </c>
      <c r="B9" s="97">
        <v>489.94</v>
      </c>
      <c r="C9" s="97">
        <v>377.71</v>
      </c>
      <c r="D9" s="97">
        <v>238.87</v>
      </c>
      <c r="E9" s="112" t="s">
        <v>10</v>
      </c>
      <c r="F9" s="97">
        <v>359.7</v>
      </c>
      <c r="G9" s="97">
        <v>337.23</v>
      </c>
    </row>
    <row r="10" spans="1:7" ht="13.8">
      <c r="A10" s="34" t="s">
        <v>84</v>
      </c>
      <c r="B10" s="97">
        <v>368.49</v>
      </c>
      <c r="C10" s="97">
        <v>304.27</v>
      </c>
      <c r="D10" s="97">
        <v>209.97</v>
      </c>
      <c r="E10" s="112" t="s">
        <v>10</v>
      </c>
      <c r="F10" s="97">
        <v>301.2</v>
      </c>
      <c r="G10" s="97">
        <v>256.58</v>
      </c>
    </row>
    <row r="11" spans="1:7" ht="13.8">
      <c r="A11" s="34" t="s">
        <v>85</v>
      </c>
      <c r="B11" s="97">
        <v>324.56</v>
      </c>
      <c r="C11" s="97">
        <v>261.19</v>
      </c>
      <c r="D11" s="97">
        <v>153.16999999999999</v>
      </c>
      <c r="E11" s="112" t="s">
        <v>10</v>
      </c>
      <c r="F11" s="97">
        <v>262.2</v>
      </c>
      <c r="G11" s="97">
        <v>260.23</v>
      </c>
    </row>
    <row r="12" spans="1:7" ht="13.8">
      <c r="A12" s="34" t="s">
        <v>97</v>
      </c>
      <c r="B12" s="97">
        <v>316.88</v>
      </c>
      <c r="C12" s="97">
        <v>208.61</v>
      </c>
      <c r="D12" s="97">
        <v>145.1</v>
      </c>
      <c r="E12" s="112" t="s">
        <v>10</v>
      </c>
      <c r="F12" s="97">
        <v>267.94</v>
      </c>
      <c r="G12" s="97">
        <v>282.49</v>
      </c>
    </row>
    <row r="13" spans="1:7" ht="13.8">
      <c r="A13" s="34" t="s">
        <v>99</v>
      </c>
      <c r="B13" s="97">
        <v>345.02</v>
      </c>
      <c r="C13" s="97">
        <v>260.88</v>
      </c>
      <c r="D13" s="97">
        <v>173.53</v>
      </c>
      <c r="E13" s="112" t="s">
        <v>10</v>
      </c>
      <c r="F13" s="97">
        <v>291.14999999999998</v>
      </c>
      <c r="G13" s="97">
        <v>239.15</v>
      </c>
    </row>
    <row r="14" spans="1:7" ht="13.8">
      <c r="A14" s="34" t="s">
        <v>131</v>
      </c>
      <c r="B14" s="97">
        <v>308.27999999999997</v>
      </c>
      <c r="C14" s="97">
        <v>228.64</v>
      </c>
      <c r="D14" s="117">
        <v>164.16</v>
      </c>
      <c r="E14" s="112" t="s">
        <v>10</v>
      </c>
      <c r="F14" s="97">
        <v>272.38</v>
      </c>
      <c r="G14" s="97">
        <v>225.77</v>
      </c>
    </row>
    <row r="15" spans="1:7" ht="16.2">
      <c r="A15" s="34" t="s">
        <v>133</v>
      </c>
      <c r="B15" s="97">
        <v>299.5</v>
      </c>
      <c r="C15" s="97">
        <v>247.04</v>
      </c>
      <c r="D15" s="117">
        <v>187.7</v>
      </c>
      <c r="E15" s="112" t="s">
        <v>10</v>
      </c>
      <c r="F15" s="97">
        <v>273.99</v>
      </c>
      <c r="G15" s="97">
        <v>245.88</v>
      </c>
    </row>
    <row r="16" spans="1:7" ht="16.2">
      <c r="A16" s="34" t="s">
        <v>147</v>
      </c>
      <c r="B16" s="97">
        <v>400</v>
      </c>
      <c r="C16" s="97">
        <v>385</v>
      </c>
      <c r="D16" s="117">
        <v>240</v>
      </c>
      <c r="E16" s="112" t="s">
        <v>10</v>
      </c>
      <c r="F16" s="97">
        <v>330</v>
      </c>
      <c r="G16" s="97">
        <v>275</v>
      </c>
    </row>
    <row r="17" spans="1:13" ht="13.8">
      <c r="A17" s="113"/>
      <c r="B17" s="97"/>
      <c r="C17" s="97"/>
      <c r="D17" s="97"/>
      <c r="E17" s="112"/>
      <c r="F17" s="97"/>
      <c r="G17" s="97"/>
      <c r="H17" s="13"/>
    </row>
    <row r="18" spans="1:13" ht="13.8">
      <c r="A18" s="34" t="s">
        <v>135</v>
      </c>
      <c r="B18" s="97"/>
      <c r="C18" s="97"/>
      <c r="D18" s="97"/>
      <c r="E18" s="112"/>
      <c r="F18" s="97"/>
      <c r="G18" s="97"/>
      <c r="I18" s="6"/>
      <c r="J18" s="6"/>
      <c r="K18" s="6"/>
      <c r="L18" s="6"/>
      <c r="M18" s="6"/>
    </row>
    <row r="19" spans="1:13" ht="13.8">
      <c r="A19" s="34" t="s">
        <v>49</v>
      </c>
      <c r="B19" s="97">
        <v>309.48</v>
      </c>
      <c r="C19" s="97">
        <v>213.13</v>
      </c>
      <c r="D19" s="97">
        <v>169</v>
      </c>
      <c r="E19" s="112" t="s">
        <v>10</v>
      </c>
      <c r="F19" s="97">
        <v>267.89999999999998</v>
      </c>
      <c r="G19" s="97">
        <v>226.5</v>
      </c>
      <c r="I19" s="6"/>
      <c r="J19" s="6"/>
      <c r="K19" s="6"/>
      <c r="L19" s="6"/>
      <c r="M19" s="6"/>
    </row>
    <row r="20" spans="1:13" ht="13.8">
      <c r="A20" s="34" t="s">
        <v>50</v>
      </c>
      <c r="B20" s="97">
        <v>303.13</v>
      </c>
      <c r="C20" s="97">
        <v>233.75</v>
      </c>
      <c r="D20" s="97">
        <v>166.88</v>
      </c>
      <c r="E20" s="112" t="s">
        <v>10</v>
      </c>
      <c r="F20" s="97" t="s">
        <v>10</v>
      </c>
      <c r="G20" s="97">
        <v>226.88</v>
      </c>
      <c r="I20" s="6"/>
      <c r="J20" s="6"/>
      <c r="K20" s="6"/>
      <c r="L20" s="6"/>
      <c r="M20" s="6"/>
    </row>
    <row r="21" spans="1:13" ht="13.8">
      <c r="A21" s="34" t="s">
        <v>51</v>
      </c>
      <c r="B21" s="97">
        <v>299.58999999999997</v>
      </c>
      <c r="C21" s="97">
        <v>250.83</v>
      </c>
      <c r="D21" s="97">
        <v>180</v>
      </c>
      <c r="E21" s="112" t="s">
        <v>10</v>
      </c>
      <c r="F21" s="97" t="s">
        <v>10</v>
      </c>
      <c r="G21" s="97">
        <f>(235+227.5+232.5)/3</f>
        <v>231.66666666666666</v>
      </c>
      <c r="I21" s="6"/>
      <c r="J21" s="6"/>
      <c r="K21" s="6"/>
      <c r="L21" s="6"/>
      <c r="M21" s="6"/>
    </row>
    <row r="22" spans="1:13" ht="13.8">
      <c r="A22" s="34" t="s">
        <v>52</v>
      </c>
      <c r="B22" s="97">
        <v>300.11</v>
      </c>
      <c r="C22" s="97">
        <v>239.38</v>
      </c>
      <c r="D22" s="97">
        <v>185</v>
      </c>
      <c r="E22" s="112" t="s">
        <v>10</v>
      </c>
      <c r="F22" s="97" t="s">
        <v>10</v>
      </c>
      <c r="G22" s="97">
        <v>248.13</v>
      </c>
      <c r="I22" s="6"/>
      <c r="J22" s="6"/>
      <c r="K22" s="6"/>
      <c r="L22" s="6"/>
      <c r="M22" s="6"/>
    </row>
    <row r="23" spans="1:13" ht="13.8">
      <c r="A23" s="34" t="s">
        <v>53</v>
      </c>
      <c r="B23" s="97">
        <v>295.27999999999997</v>
      </c>
      <c r="C23" s="97">
        <v>250.63</v>
      </c>
      <c r="D23" s="97">
        <v>188.13</v>
      </c>
      <c r="E23" s="112" t="s">
        <v>10</v>
      </c>
      <c r="F23" s="97">
        <v>253.67</v>
      </c>
      <c r="G23" s="97">
        <v>262.5</v>
      </c>
      <c r="I23" s="6"/>
      <c r="J23" s="6"/>
      <c r="K23" s="6"/>
      <c r="L23" s="6"/>
      <c r="M23" s="6"/>
    </row>
    <row r="24" spans="1:13" ht="13.8">
      <c r="A24" s="34" t="s">
        <v>54</v>
      </c>
      <c r="B24" s="97">
        <v>312.38</v>
      </c>
      <c r="C24" s="97">
        <v>259</v>
      </c>
      <c r="D24" s="97">
        <v>180</v>
      </c>
      <c r="E24" s="112" t="s">
        <v>10</v>
      </c>
      <c r="F24" s="97">
        <v>274.75</v>
      </c>
      <c r="G24" s="97">
        <v>263</v>
      </c>
      <c r="I24" s="6"/>
      <c r="J24" s="6"/>
      <c r="K24" s="6"/>
      <c r="L24" s="6"/>
      <c r="M24" s="6"/>
    </row>
    <row r="25" spans="1:13" ht="13.8">
      <c r="A25" s="34" t="s">
        <v>55</v>
      </c>
      <c r="B25" s="97">
        <v>295.39999999999998</v>
      </c>
      <c r="C25" s="97">
        <v>281.88</v>
      </c>
      <c r="D25" s="97">
        <v>183.75</v>
      </c>
      <c r="E25" s="112" t="s">
        <v>10</v>
      </c>
      <c r="F25" s="97">
        <v>274.52999999999997</v>
      </c>
      <c r="G25" s="97">
        <v>260</v>
      </c>
      <c r="I25" s="6"/>
      <c r="J25" s="6"/>
      <c r="K25" s="6"/>
      <c r="L25" s="6"/>
      <c r="M25" s="6"/>
    </row>
    <row r="26" spans="1:13" ht="13.8">
      <c r="A26" s="34" t="s">
        <v>56</v>
      </c>
      <c r="B26" s="97">
        <v>288.56</v>
      </c>
      <c r="C26" s="97">
        <v>251.88</v>
      </c>
      <c r="D26" s="97">
        <v>180.63</v>
      </c>
      <c r="E26" s="112" t="s">
        <v>10</v>
      </c>
      <c r="F26" s="97">
        <v>276.25</v>
      </c>
      <c r="G26" s="97">
        <v>257.5</v>
      </c>
      <c r="I26" s="6"/>
      <c r="J26" s="6"/>
      <c r="K26" s="6"/>
      <c r="L26" s="6"/>
      <c r="M26" s="6"/>
    </row>
    <row r="27" spans="1:13" ht="13.8">
      <c r="A27" s="34" t="s">
        <v>57</v>
      </c>
      <c r="B27" s="97">
        <v>288.66000000000003</v>
      </c>
      <c r="C27" s="97">
        <v>245.5</v>
      </c>
      <c r="D27" s="97">
        <v>187.5</v>
      </c>
      <c r="E27" s="112" t="s">
        <v>10</v>
      </c>
      <c r="F27" s="97">
        <v>270.02999999999997</v>
      </c>
      <c r="G27" s="97">
        <v>245.63</v>
      </c>
      <c r="I27" s="6"/>
      <c r="J27" s="6"/>
      <c r="K27" s="6"/>
      <c r="L27" s="6"/>
      <c r="M27" s="6"/>
    </row>
    <row r="28" spans="1:13" ht="13.8">
      <c r="A28" s="34" t="s">
        <v>59</v>
      </c>
      <c r="B28" s="97">
        <v>291.25</v>
      </c>
      <c r="C28" s="97">
        <v>245</v>
      </c>
      <c r="D28" s="97">
        <v>202.5</v>
      </c>
      <c r="E28" s="112" t="s">
        <v>10</v>
      </c>
      <c r="F28" s="97">
        <v>271.11</v>
      </c>
      <c r="G28" s="97">
        <v>250</v>
      </c>
      <c r="I28" s="6"/>
      <c r="J28" s="6"/>
      <c r="K28" s="6"/>
      <c r="L28" s="6"/>
      <c r="M28" s="6"/>
    </row>
    <row r="29" spans="1:13" ht="13.8">
      <c r="A29" s="34" t="s">
        <v>60</v>
      </c>
      <c r="B29" s="97">
        <v>290.18</v>
      </c>
      <c r="C29" s="97">
        <v>245</v>
      </c>
      <c r="D29" s="97">
        <v>217.5</v>
      </c>
      <c r="E29" s="112" t="s">
        <v>10</v>
      </c>
      <c r="F29" s="97">
        <v>281.08999999999997</v>
      </c>
      <c r="G29" s="97">
        <v>251.75</v>
      </c>
      <c r="I29" s="6"/>
      <c r="J29" s="6"/>
      <c r="K29" s="6"/>
      <c r="L29" s="6"/>
      <c r="M29" s="6"/>
    </row>
    <row r="30" spans="1:13" ht="13.8">
      <c r="A30" s="34" t="s">
        <v>62</v>
      </c>
      <c r="B30" s="97">
        <v>319.99</v>
      </c>
      <c r="C30" s="97">
        <v>248.5</v>
      </c>
      <c r="D30" s="97">
        <v>211.5</v>
      </c>
      <c r="E30" s="112" t="s">
        <v>10</v>
      </c>
      <c r="F30" s="97">
        <v>296.60000000000002</v>
      </c>
      <c r="G30" s="97">
        <v>227</v>
      </c>
      <c r="I30" s="6"/>
      <c r="J30" s="6"/>
      <c r="K30" s="6"/>
      <c r="L30" s="6"/>
      <c r="M30" s="6"/>
    </row>
    <row r="31" spans="1:13" ht="13.8">
      <c r="A31" s="37"/>
      <c r="B31" s="97"/>
      <c r="C31" s="97"/>
      <c r="D31" s="97"/>
      <c r="E31" s="112"/>
      <c r="F31" s="97"/>
      <c r="G31" s="97"/>
      <c r="I31" s="6"/>
      <c r="J31" s="6"/>
      <c r="K31" s="6"/>
      <c r="L31" s="6"/>
      <c r="M31" s="6"/>
    </row>
    <row r="32" spans="1:13" ht="13.8">
      <c r="A32" s="34" t="s">
        <v>155</v>
      </c>
      <c r="B32" s="97"/>
      <c r="C32" s="97"/>
      <c r="D32" s="97"/>
      <c r="E32" s="112"/>
      <c r="F32" s="97"/>
      <c r="G32" s="97"/>
      <c r="I32" s="6"/>
      <c r="J32" s="6"/>
      <c r="K32" s="6"/>
      <c r="L32" s="6"/>
      <c r="M32" s="6"/>
    </row>
    <row r="33" spans="1:13" ht="13.8">
      <c r="A33" s="34" t="s">
        <v>49</v>
      </c>
      <c r="B33" s="97">
        <v>366.62</v>
      </c>
      <c r="C33" s="97">
        <v>301.88</v>
      </c>
      <c r="D33" s="97">
        <v>211.25</v>
      </c>
      <c r="E33" s="112" t="s">
        <v>10</v>
      </c>
      <c r="F33" s="97">
        <v>327.24</v>
      </c>
      <c r="G33" s="97">
        <v>239.38</v>
      </c>
      <c r="I33" s="6"/>
      <c r="J33" s="6"/>
      <c r="K33" s="6"/>
      <c r="L33" s="6"/>
      <c r="M33" s="6"/>
    </row>
    <row r="34" spans="1:13" ht="13.8">
      <c r="A34" s="34" t="s">
        <v>50</v>
      </c>
      <c r="B34" s="97">
        <v>387.83</v>
      </c>
      <c r="C34" s="97">
        <v>365.63</v>
      </c>
      <c r="D34" s="97">
        <v>213.13</v>
      </c>
      <c r="E34" s="112" t="s">
        <v>10</v>
      </c>
      <c r="F34" s="97">
        <v>297.64999999999998</v>
      </c>
      <c r="G34" s="97">
        <v>253.75</v>
      </c>
      <c r="I34" s="6"/>
      <c r="J34" s="6"/>
      <c r="K34" s="140"/>
      <c r="L34" s="6"/>
      <c r="M34" s="6"/>
    </row>
    <row r="35" spans="1:13" ht="13.8">
      <c r="A35" s="34" t="s">
        <v>51</v>
      </c>
      <c r="B35" s="97">
        <v>396.68</v>
      </c>
      <c r="C35" s="97">
        <v>425</v>
      </c>
      <c r="D35" s="97">
        <v>252.5</v>
      </c>
      <c r="E35" s="112" t="s">
        <v>10</v>
      </c>
      <c r="F35" s="97">
        <v>296.2</v>
      </c>
      <c r="G35" s="97">
        <v>275</v>
      </c>
      <c r="I35" s="6"/>
      <c r="J35" s="6"/>
      <c r="K35" s="6"/>
      <c r="L35" s="6"/>
      <c r="M35" s="6"/>
    </row>
    <row r="36" spans="1:13" ht="13.8">
      <c r="A36" s="37" t="s">
        <v>52</v>
      </c>
      <c r="B36" s="97">
        <v>439.24</v>
      </c>
      <c r="C36" s="97">
        <v>443.75</v>
      </c>
      <c r="D36" s="97">
        <v>280.63</v>
      </c>
      <c r="E36" s="112" t="s">
        <v>10</v>
      </c>
      <c r="F36" s="97">
        <v>387.43</v>
      </c>
      <c r="G36" s="97">
        <v>313.18</v>
      </c>
      <c r="I36" s="6"/>
      <c r="J36" s="6"/>
      <c r="K36" s="6"/>
      <c r="L36" s="6"/>
      <c r="M36" s="6"/>
    </row>
    <row r="37" spans="1:13" ht="13.8">
      <c r="A37" s="33" t="s">
        <v>53</v>
      </c>
      <c r="B37" s="103">
        <v>427.28</v>
      </c>
      <c r="C37" s="103">
        <v>460</v>
      </c>
      <c r="D37" s="103">
        <v>298.75</v>
      </c>
      <c r="E37" s="114" t="s">
        <v>10</v>
      </c>
      <c r="F37" s="103">
        <v>347.27499999999998</v>
      </c>
      <c r="G37" s="103">
        <v>312.5</v>
      </c>
      <c r="I37" s="6"/>
      <c r="J37" s="6"/>
      <c r="K37" s="6"/>
      <c r="L37" s="6"/>
      <c r="M37" s="6"/>
    </row>
    <row r="38" spans="1:13" ht="16.2">
      <c r="A38" s="74" t="s">
        <v>129</v>
      </c>
      <c r="B38" s="115"/>
      <c r="C38" s="115"/>
      <c r="D38" s="115"/>
      <c r="E38" s="115"/>
      <c r="F38" s="115"/>
      <c r="G38" s="115"/>
      <c r="I38" s="11"/>
      <c r="J38" s="6"/>
      <c r="K38" s="6"/>
      <c r="L38" s="6"/>
      <c r="M38" s="6"/>
    </row>
    <row r="39" spans="1:13" ht="16.2">
      <c r="A39" s="74" t="s">
        <v>126</v>
      </c>
      <c r="B39" s="116"/>
      <c r="C39" s="116"/>
      <c r="D39" s="116"/>
      <c r="E39" s="116"/>
      <c r="F39" s="116"/>
      <c r="G39" s="116"/>
      <c r="I39" s="11"/>
      <c r="J39" s="6"/>
      <c r="K39" s="6"/>
      <c r="L39" s="6"/>
      <c r="M39" s="6"/>
    </row>
    <row r="40" spans="1:13" ht="13.8">
      <c r="A40" s="34" t="s">
        <v>48</v>
      </c>
      <c r="B40" s="116"/>
      <c r="C40" s="116"/>
      <c r="D40" s="116"/>
      <c r="E40" s="116"/>
      <c r="F40" s="116"/>
      <c r="G40" s="116"/>
      <c r="H40" s="1"/>
      <c r="I40" s="11"/>
      <c r="J40" s="6"/>
      <c r="K40" s="6"/>
      <c r="L40" s="6"/>
      <c r="M40" s="6"/>
    </row>
    <row r="41" spans="1:13" ht="14.4">
      <c r="A41" s="34" t="s">
        <v>127</v>
      </c>
      <c r="B41" s="34"/>
      <c r="C41" s="34"/>
      <c r="D41" s="34"/>
      <c r="E41" s="34"/>
      <c r="F41" s="116"/>
      <c r="G41" s="116"/>
      <c r="I41" s="11"/>
      <c r="J41" s="6"/>
      <c r="K41" s="6"/>
      <c r="L41" s="6"/>
      <c r="M41" s="6"/>
    </row>
    <row r="42" spans="1:13" ht="13.8">
      <c r="A42" s="38" t="s">
        <v>20</v>
      </c>
      <c r="B42" s="66">
        <f ca="1">NOW()</f>
        <v>44266.328958333332</v>
      </c>
      <c r="C42" s="34"/>
      <c r="D42" s="34"/>
      <c r="E42" s="34"/>
      <c r="F42" s="116"/>
      <c r="G42" s="116"/>
      <c r="I42" s="12"/>
      <c r="J42" s="8"/>
      <c r="K42" s="8"/>
      <c r="L42" s="8"/>
      <c r="M42" s="8"/>
    </row>
    <row r="43" spans="1:13" ht="13.8">
      <c r="F43" s="116"/>
      <c r="G43" s="116"/>
      <c r="I43" s="12"/>
      <c r="J43" s="8"/>
      <c r="K43" s="8"/>
      <c r="L43" s="8"/>
      <c r="M43" s="8"/>
    </row>
    <row r="44" spans="1:13" ht="13.8">
      <c r="F44" s="116"/>
      <c r="G44" s="116"/>
      <c r="I44" s="11"/>
      <c r="J44" s="11"/>
      <c r="K44" s="6"/>
      <c r="L44" s="6"/>
      <c r="M44" s="6"/>
    </row>
    <row r="45" spans="1:13">
      <c r="I45" s="11"/>
      <c r="J45" s="11"/>
      <c r="K45" s="6"/>
      <c r="L45" s="6"/>
      <c r="M45" s="6"/>
    </row>
    <row r="46" spans="1:13">
      <c r="I46" s="11"/>
      <c r="J46" s="11"/>
      <c r="K46" s="6"/>
      <c r="L46" s="6"/>
      <c r="M46" s="6"/>
    </row>
    <row r="47" spans="1:13">
      <c r="I47" s="11"/>
      <c r="J47" s="11"/>
      <c r="K47" s="6"/>
      <c r="L47" s="6"/>
      <c r="M47" s="6"/>
    </row>
    <row r="48" spans="1:13">
      <c r="I48" s="11"/>
      <c r="J48" s="11"/>
      <c r="K48" s="6"/>
      <c r="L48" s="6"/>
      <c r="M48" s="6"/>
    </row>
    <row r="49" spans="9:13">
      <c r="I49" s="11"/>
      <c r="J49" s="11"/>
      <c r="K49" s="6"/>
      <c r="L49" s="6"/>
      <c r="M49" s="6"/>
    </row>
    <row r="51" spans="9:13">
      <c r="I51" s="9"/>
      <c r="J51" s="9"/>
      <c r="K51" s="9"/>
      <c r="L51" s="9"/>
      <c r="M51" s="9"/>
    </row>
    <row r="52" spans="9:13">
      <c r="I52" s="9"/>
      <c r="J52" s="9"/>
      <c r="K52" s="9"/>
      <c r="L52" s="9"/>
      <c r="M52" s="9"/>
    </row>
    <row r="53" spans="9:13">
      <c r="J53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152E-0D09-418A-9119-F67D7B37AF93}">
  <dimension ref="A1:AC255"/>
  <sheetViews>
    <sheetView tabSelected="1" zoomScale="70" zoomScaleNormal="70" workbookViewId="0">
      <selection activeCell="D10" sqref="D10"/>
    </sheetView>
  </sheetViews>
  <sheetFormatPr defaultRowHeight="13.2"/>
  <cols>
    <col min="1" max="1" width="23.77734375" style="141" bestFit="1" customWidth="1"/>
    <col min="2" max="2" width="46.109375" style="141" bestFit="1" customWidth="1"/>
    <col min="3" max="3" width="8.6640625" style="141" customWidth="1"/>
    <col min="4" max="9" width="10.5546875" style="141" customWidth="1"/>
    <col min="10" max="16384" width="8.88671875" style="141"/>
  </cols>
  <sheetData>
    <row r="1" spans="1:29" ht="15">
      <c r="A1" s="141" t="s">
        <v>237</v>
      </c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</row>
    <row r="2" spans="1:29" ht="15">
      <c r="A2" s="153"/>
      <c r="B2" s="155" t="s">
        <v>227</v>
      </c>
      <c r="C2" s="154" t="s">
        <v>135</v>
      </c>
      <c r="D2" s="154" t="s">
        <v>155</v>
      </c>
      <c r="E2" s="153"/>
      <c r="Q2" s="151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15">
      <c r="Q3" s="151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29" ht="15">
      <c r="B4" s="189" t="s">
        <v>171</v>
      </c>
      <c r="Q4" s="151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</row>
    <row r="5" spans="1:29" ht="15">
      <c r="A5" s="150" t="s">
        <v>170</v>
      </c>
      <c r="B5" s="149">
        <v>2.9011864496666671</v>
      </c>
      <c r="C5" s="149">
        <v>5.0762598829999996</v>
      </c>
      <c r="D5" s="149">
        <v>2.4262227840000001</v>
      </c>
      <c r="E5" s="152"/>
      <c r="Q5" s="151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29" ht="15">
      <c r="A6" s="150" t="s">
        <v>169</v>
      </c>
      <c r="B6" s="149">
        <v>2.4254155760000002</v>
      </c>
      <c r="C6" s="149">
        <v>4.9473593170000001</v>
      </c>
      <c r="D6" s="149">
        <v>1.435661488</v>
      </c>
      <c r="E6" s="152"/>
      <c r="Q6" s="151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</row>
    <row r="7" spans="1:29" ht="15">
      <c r="A7" s="150" t="s">
        <v>168</v>
      </c>
      <c r="B7" s="149">
        <v>2.3598943299999999</v>
      </c>
      <c r="C7" s="149">
        <v>3.2696367909999999</v>
      </c>
      <c r="D7" s="149">
        <v>0.27408258299999999</v>
      </c>
      <c r="Q7" s="151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</row>
    <row r="8" spans="1:29" ht="15">
      <c r="A8" s="150" t="s">
        <v>167</v>
      </c>
      <c r="B8" s="149">
        <v>1.5051233033333336</v>
      </c>
      <c r="C8" s="149">
        <v>1.3977575059999998</v>
      </c>
      <c r="D8" s="149">
        <v>4.9498928999999997E-2</v>
      </c>
      <c r="Q8" s="151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</row>
    <row r="9" spans="1:29" ht="15">
      <c r="A9" s="150" t="s">
        <v>166</v>
      </c>
      <c r="B9" s="149">
        <v>3.8801260850000001</v>
      </c>
      <c r="C9" s="149">
        <v>4.8399818469999998</v>
      </c>
      <c r="D9" s="149">
        <v>2.9</v>
      </c>
      <c r="Q9" s="151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</row>
    <row r="10" spans="1:29" ht="15">
      <c r="A10" s="150" t="s">
        <v>165</v>
      </c>
      <c r="B10" s="149">
        <v>8.7575368456666656</v>
      </c>
      <c r="C10" s="149">
        <v>10.875230046</v>
      </c>
      <c r="D10" s="149"/>
      <c r="Q10" s="151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1:29" ht="15">
      <c r="A11" s="150" t="s">
        <v>164</v>
      </c>
      <c r="B11" s="149">
        <v>10.045512488</v>
      </c>
      <c r="C11" s="149">
        <v>14.859774224000001</v>
      </c>
      <c r="D11" s="149"/>
      <c r="Q11" s="151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1:29" ht="15">
      <c r="A12" s="150" t="s">
        <v>163</v>
      </c>
      <c r="B12" s="149">
        <v>11.100805653</v>
      </c>
      <c r="C12" s="149">
        <v>14.099887178000001</v>
      </c>
      <c r="D12" s="149"/>
      <c r="Q12" s="151"/>
      <c r="R12" s="148"/>
      <c r="S12" s="148"/>
      <c r="T12" s="148"/>
      <c r="U12" s="148"/>
      <c r="V12" s="148"/>
    </row>
    <row r="13" spans="1:29" ht="15">
      <c r="A13" s="150" t="s">
        <v>152</v>
      </c>
      <c r="B13" s="149">
        <v>9.3830383900000012</v>
      </c>
      <c r="C13" s="149">
        <v>12.741608437</v>
      </c>
      <c r="D13" s="149"/>
      <c r="R13" s="148"/>
      <c r="S13" s="148"/>
      <c r="T13" s="148"/>
      <c r="U13" s="148"/>
      <c r="V13" s="148"/>
    </row>
    <row r="14" spans="1:29" ht="15">
      <c r="A14" s="150" t="s">
        <v>153</v>
      </c>
      <c r="B14" s="149">
        <v>8.174359535999999</v>
      </c>
      <c r="C14" s="149">
        <v>9.9550679909999999</v>
      </c>
      <c r="D14" s="149"/>
      <c r="R14" s="148"/>
      <c r="S14" s="148"/>
      <c r="T14" s="148"/>
      <c r="U14" s="148"/>
      <c r="V14" s="148"/>
    </row>
    <row r="15" spans="1:29" ht="15">
      <c r="A15" s="150" t="s">
        <v>154</v>
      </c>
      <c r="B15" s="149">
        <v>6.360653189333334</v>
      </c>
      <c r="C15" s="149">
        <v>5.8366668129999999</v>
      </c>
      <c r="D15" s="149"/>
      <c r="R15" s="148"/>
      <c r="S15" s="148"/>
      <c r="T15" s="148"/>
      <c r="U15" s="148"/>
      <c r="V15" s="148"/>
    </row>
    <row r="16" spans="1:29" ht="15">
      <c r="A16" s="150" t="s">
        <v>162</v>
      </c>
      <c r="B16" s="149">
        <v>4.4885287646666665</v>
      </c>
      <c r="C16" s="149">
        <v>4.2653036540000002</v>
      </c>
      <c r="D16" s="149"/>
      <c r="R16" s="148"/>
      <c r="S16" s="148"/>
      <c r="T16" s="148"/>
      <c r="U16" s="148"/>
      <c r="V16" s="148"/>
    </row>
    <row r="17" spans="1:7" ht="13.8">
      <c r="A17" s="145"/>
      <c r="B17" s="144"/>
      <c r="C17" s="144"/>
      <c r="F17" s="147"/>
      <c r="G17" s="147"/>
    </row>
    <row r="18" spans="1:7" ht="13.8">
      <c r="A18" s="145"/>
      <c r="B18" s="142"/>
      <c r="F18" s="146"/>
    </row>
    <row r="19" spans="1:7" ht="13.8">
      <c r="A19" s="145"/>
      <c r="B19" s="144"/>
      <c r="C19" s="144"/>
      <c r="D19" s="144"/>
      <c r="F19" s="146"/>
    </row>
    <row r="20" spans="1:7" ht="13.8">
      <c r="A20" s="145"/>
      <c r="B20" s="144"/>
      <c r="C20" s="144"/>
      <c r="D20" s="144"/>
      <c r="F20" s="146"/>
    </row>
    <row r="21" spans="1:7" ht="13.8">
      <c r="A21" s="145"/>
      <c r="B21" s="144"/>
      <c r="C21" s="144"/>
      <c r="D21" s="144"/>
      <c r="F21" s="146"/>
    </row>
    <row r="22" spans="1:7" ht="13.8">
      <c r="A22" s="145"/>
      <c r="B22" s="144"/>
      <c r="C22" s="144"/>
      <c r="D22" s="144"/>
      <c r="F22" s="146"/>
    </row>
    <row r="23" spans="1:7" ht="13.8">
      <c r="A23" s="145"/>
      <c r="B23" s="144"/>
      <c r="C23" s="144"/>
      <c r="D23" s="144"/>
      <c r="F23" s="146"/>
    </row>
    <row r="24" spans="1:7" ht="13.8">
      <c r="A24" s="145"/>
      <c r="B24" s="144"/>
      <c r="C24" s="144"/>
      <c r="D24" s="144"/>
      <c r="F24" s="146"/>
    </row>
    <row r="25" spans="1:7" ht="13.8">
      <c r="A25" s="145"/>
      <c r="B25" s="144"/>
      <c r="C25" s="144"/>
      <c r="D25" s="144"/>
      <c r="F25" s="146"/>
    </row>
    <row r="26" spans="1:7" ht="13.8">
      <c r="A26" s="145"/>
      <c r="B26" s="144"/>
      <c r="C26" s="144"/>
      <c r="D26" s="144"/>
      <c r="F26" s="146"/>
    </row>
    <row r="27" spans="1:7" ht="13.8">
      <c r="A27" s="145"/>
      <c r="B27" s="144"/>
      <c r="C27" s="144"/>
      <c r="D27" s="144"/>
      <c r="F27" s="146"/>
    </row>
    <row r="28" spans="1:7" ht="13.8">
      <c r="A28" s="145"/>
      <c r="B28" s="144"/>
      <c r="C28" s="144"/>
      <c r="D28" s="144"/>
      <c r="F28" s="146"/>
    </row>
    <row r="29" spans="1:7" ht="13.8">
      <c r="A29" s="145"/>
      <c r="B29" s="144"/>
      <c r="C29" s="144"/>
      <c r="D29" s="144"/>
      <c r="F29" s="146"/>
    </row>
    <row r="30" spans="1:7" ht="13.8">
      <c r="A30" s="145"/>
      <c r="B30" s="144"/>
      <c r="C30" s="144"/>
      <c r="D30" s="144"/>
    </row>
    <row r="31" spans="1:7" ht="13.8">
      <c r="A31" s="145"/>
      <c r="B31" s="142"/>
    </row>
    <row r="32" spans="1:7" ht="13.8">
      <c r="A32" s="145"/>
      <c r="B32" s="142"/>
    </row>
    <row r="33" spans="1:2" ht="13.8">
      <c r="A33" s="145"/>
      <c r="B33" s="142"/>
    </row>
    <row r="34" spans="1:2" ht="13.8">
      <c r="A34" s="145"/>
      <c r="B34" s="142"/>
    </row>
    <row r="35" spans="1:2" ht="13.8">
      <c r="A35" s="145"/>
      <c r="B35" s="142"/>
    </row>
    <row r="36" spans="1:2" ht="13.8">
      <c r="A36" s="145"/>
      <c r="B36" s="142"/>
    </row>
    <row r="37" spans="1:2" ht="13.8">
      <c r="A37" s="145"/>
      <c r="B37" s="142"/>
    </row>
    <row r="38" spans="1:2" ht="13.8">
      <c r="A38" s="145"/>
      <c r="B38" s="142"/>
    </row>
    <row r="39" spans="1:2" ht="13.8">
      <c r="A39" s="145"/>
      <c r="B39" s="142"/>
    </row>
    <row r="40" spans="1:2" ht="13.8">
      <c r="A40" s="145"/>
      <c r="B40" s="142"/>
    </row>
    <row r="41" spans="1:2" ht="13.8">
      <c r="A41" s="145"/>
      <c r="B41" s="142"/>
    </row>
    <row r="42" spans="1:2" ht="13.8">
      <c r="A42" s="145"/>
      <c r="B42" s="142"/>
    </row>
    <row r="43" spans="1:2" ht="13.8">
      <c r="A43" s="145"/>
      <c r="B43" s="142"/>
    </row>
    <row r="44" spans="1:2" ht="13.8">
      <c r="A44" s="145"/>
      <c r="B44" s="142"/>
    </row>
    <row r="45" spans="1:2" ht="13.8">
      <c r="A45" s="145"/>
      <c r="B45" s="142"/>
    </row>
    <row r="46" spans="1:2" ht="13.8">
      <c r="A46" s="145"/>
      <c r="B46" s="142"/>
    </row>
    <row r="47" spans="1:2" ht="13.8">
      <c r="A47" s="145"/>
      <c r="B47" s="142"/>
    </row>
    <row r="48" spans="1:2" ht="13.8">
      <c r="A48" s="145"/>
      <c r="B48" s="142"/>
    </row>
    <row r="49" spans="1:2" ht="13.8">
      <c r="A49" s="145"/>
      <c r="B49" s="142"/>
    </row>
    <row r="50" spans="1:2" ht="13.8">
      <c r="A50" s="145"/>
      <c r="B50" s="142"/>
    </row>
    <row r="51" spans="1:2" ht="13.8">
      <c r="A51" s="145"/>
      <c r="B51" s="142"/>
    </row>
    <row r="52" spans="1:2" ht="13.8">
      <c r="A52" s="145"/>
      <c r="B52" s="142"/>
    </row>
    <row r="53" spans="1:2" ht="13.8">
      <c r="A53" s="145"/>
      <c r="B53" s="142"/>
    </row>
    <row r="54" spans="1:2" ht="13.8">
      <c r="A54" s="145"/>
      <c r="B54" s="142"/>
    </row>
    <row r="55" spans="1:2" ht="13.8">
      <c r="A55" s="145"/>
      <c r="B55" s="142"/>
    </row>
    <row r="56" spans="1:2" ht="13.8">
      <c r="A56" s="145"/>
      <c r="B56" s="142"/>
    </row>
    <row r="57" spans="1:2" ht="13.8">
      <c r="A57" s="145"/>
      <c r="B57" s="142"/>
    </row>
    <row r="58" spans="1:2" ht="13.8">
      <c r="A58" s="145"/>
      <c r="B58" s="142"/>
    </row>
    <row r="59" spans="1:2" ht="13.8">
      <c r="A59" s="145"/>
      <c r="B59" s="142"/>
    </row>
    <row r="60" spans="1:2" ht="13.8">
      <c r="A60" s="145"/>
      <c r="B60" s="142"/>
    </row>
    <row r="61" spans="1:2" ht="13.8">
      <c r="A61" s="145"/>
      <c r="B61" s="142"/>
    </row>
    <row r="62" spans="1:2" ht="13.8">
      <c r="A62" s="145"/>
      <c r="B62" s="142"/>
    </row>
    <row r="63" spans="1:2" ht="13.8">
      <c r="A63" s="145"/>
      <c r="B63" s="142"/>
    </row>
    <row r="64" spans="1:2" ht="13.8">
      <c r="A64" s="145"/>
      <c r="B64" s="142"/>
    </row>
    <row r="65" spans="1:2" ht="13.8">
      <c r="A65" s="145"/>
      <c r="B65" s="142"/>
    </row>
    <row r="66" spans="1:2" ht="13.8">
      <c r="A66" s="145"/>
      <c r="B66" s="142"/>
    </row>
    <row r="67" spans="1:2" ht="13.8">
      <c r="A67" s="145"/>
      <c r="B67" s="142"/>
    </row>
    <row r="68" spans="1:2" ht="13.8">
      <c r="A68" s="145"/>
      <c r="B68" s="142"/>
    </row>
    <row r="69" spans="1:2" ht="13.8">
      <c r="A69" s="145"/>
      <c r="B69" s="142"/>
    </row>
    <row r="70" spans="1:2" ht="13.8">
      <c r="A70" s="145"/>
      <c r="B70" s="142"/>
    </row>
    <row r="71" spans="1:2" ht="13.8">
      <c r="A71" s="145"/>
      <c r="B71" s="142"/>
    </row>
    <row r="72" spans="1:2" ht="13.8">
      <c r="A72" s="145"/>
      <c r="B72" s="142"/>
    </row>
    <row r="73" spans="1:2" ht="13.8">
      <c r="A73" s="145"/>
      <c r="B73" s="142"/>
    </row>
    <row r="74" spans="1:2" ht="13.8">
      <c r="A74" s="145"/>
      <c r="B74" s="142"/>
    </row>
    <row r="75" spans="1:2" ht="13.8">
      <c r="A75" s="145"/>
      <c r="B75" s="142"/>
    </row>
    <row r="76" spans="1:2" ht="13.8">
      <c r="A76" s="145"/>
      <c r="B76" s="142"/>
    </row>
    <row r="77" spans="1:2" ht="13.8">
      <c r="A77" s="145"/>
      <c r="B77" s="142"/>
    </row>
    <row r="78" spans="1:2" ht="13.8">
      <c r="A78" s="145"/>
      <c r="B78" s="142"/>
    </row>
    <row r="79" spans="1:2" ht="13.8">
      <c r="A79" s="145"/>
      <c r="B79" s="142"/>
    </row>
    <row r="80" spans="1:2" ht="13.8">
      <c r="A80" s="145"/>
      <c r="B80" s="142"/>
    </row>
    <row r="81" spans="1:2" ht="13.8">
      <c r="A81" s="145"/>
      <c r="B81" s="142"/>
    </row>
    <row r="82" spans="1:2" ht="13.8">
      <c r="A82" s="145"/>
      <c r="B82" s="142"/>
    </row>
    <row r="83" spans="1:2" ht="13.8">
      <c r="A83" s="145"/>
      <c r="B83" s="142"/>
    </row>
    <row r="84" spans="1:2" ht="13.8">
      <c r="A84" s="145"/>
      <c r="B84" s="142"/>
    </row>
    <row r="85" spans="1:2" ht="13.8">
      <c r="A85" s="145"/>
      <c r="B85" s="142"/>
    </row>
    <row r="86" spans="1:2" ht="13.8">
      <c r="A86" s="145"/>
      <c r="B86" s="142"/>
    </row>
    <row r="87" spans="1:2" ht="13.8">
      <c r="A87" s="145"/>
      <c r="B87" s="142"/>
    </row>
    <row r="88" spans="1:2" ht="13.8">
      <c r="A88" s="145"/>
      <c r="B88" s="142"/>
    </row>
    <row r="89" spans="1:2" ht="13.8">
      <c r="A89" s="145"/>
      <c r="B89" s="142"/>
    </row>
    <row r="90" spans="1:2" ht="13.8">
      <c r="A90" s="145"/>
      <c r="B90" s="142"/>
    </row>
    <row r="91" spans="1:2" ht="13.8">
      <c r="A91" s="145"/>
      <c r="B91" s="142"/>
    </row>
    <row r="92" spans="1:2" ht="13.8">
      <c r="A92" s="145"/>
      <c r="B92" s="142"/>
    </row>
    <row r="93" spans="1:2" ht="13.8">
      <c r="A93" s="145"/>
      <c r="B93" s="142"/>
    </row>
    <row r="94" spans="1:2" ht="13.8">
      <c r="A94" s="145"/>
      <c r="B94" s="142"/>
    </row>
    <row r="95" spans="1:2" ht="13.8">
      <c r="A95" s="145"/>
      <c r="B95" s="142"/>
    </row>
    <row r="96" spans="1:2" ht="13.8">
      <c r="A96" s="145"/>
      <c r="B96" s="142"/>
    </row>
    <row r="97" spans="1:2" ht="13.8">
      <c r="A97" s="145"/>
      <c r="B97" s="142"/>
    </row>
    <row r="98" spans="1:2" ht="13.8">
      <c r="A98" s="145"/>
      <c r="B98" s="142"/>
    </row>
    <row r="99" spans="1:2" ht="13.8">
      <c r="A99" s="145"/>
      <c r="B99" s="142"/>
    </row>
    <row r="100" spans="1:2" ht="13.8">
      <c r="A100" s="145"/>
      <c r="B100" s="142"/>
    </row>
    <row r="101" spans="1:2" ht="13.8">
      <c r="A101" s="145"/>
      <c r="B101" s="142"/>
    </row>
    <row r="102" spans="1:2" ht="13.8">
      <c r="A102" s="145"/>
      <c r="B102" s="142"/>
    </row>
    <row r="103" spans="1:2" ht="13.8">
      <c r="A103" s="145"/>
      <c r="B103" s="142"/>
    </row>
    <row r="104" spans="1:2" ht="13.8">
      <c r="A104" s="145"/>
      <c r="B104" s="142"/>
    </row>
    <row r="105" spans="1:2" ht="13.8">
      <c r="A105" s="145"/>
      <c r="B105" s="142"/>
    </row>
    <row r="106" spans="1:2" ht="13.8">
      <c r="A106" s="145"/>
      <c r="B106" s="142"/>
    </row>
    <row r="107" spans="1:2" ht="13.8">
      <c r="A107" s="145"/>
      <c r="B107" s="142"/>
    </row>
    <row r="108" spans="1:2" ht="13.8">
      <c r="A108" s="145"/>
      <c r="B108" s="142"/>
    </row>
    <row r="109" spans="1:2" ht="13.8">
      <c r="A109" s="145"/>
      <c r="B109" s="142"/>
    </row>
    <row r="110" spans="1:2" ht="13.8">
      <c r="A110" s="145"/>
      <c r="B110" s="142"/>
    </row>
    <row r="111" spans="1:2" ht="13.8">
      <c r="A111" s="145"/>
      <c r="B111" s="142"/>
    </row>
    <row r="112" spans="1:2" ht="13.8">
      <c r="A112" s="145"/>
      <c r="B112" s="142"/>
    </row>
    <row r="113" spans="1:2" ht="13.8">
      <c r="A113" s="145"/>
      <c r="B113" s="142"/>
    </row>
    <row r="114" spans="1:2" ht="13.8">
      <c r="A114" s="145"/>
      <c r="B114" s="142"/>
    </row>
    <row r="115" spans="1:2" ht="13.8">
      <c r="A115" s="145"/>
      <c r="B115" s="142"/>
    </row>
    <row r="116" spans="1:2" ht="13.8">
      <c r="A116" s="145"/>
      <c r="B116" s="142"/>
    </row>
    <row r="117" spans="1:2" ht="13.8">
      <c r="A117" s="145"/>
      <c r="B117" s="142"/>
    </row>
    <row r="118" spans="1:2" ht="13.8">
      <c r="A118" s="145"/>
      <c r="B118" s="142"/>
    </row>
    <row r="119" spans="1:2" ht="13.8">
      <c r="A119" s="145"/>
      <c r="B119" s="142"/>
    </row>
    <row r="120" spans="1:2" ht="13.8">
      <c r="A120" s="145"/>
      <c r="B120" s="142"/>
    </row>
    <row r="121" spans="1:2" ht="13.8">
      <c r="A121" s="145"/>
      <c r="B121" s="142"/>
    </row>
    <row r="122" spans="1:2" ht="13.8">
      <c r="A122" s="145"/>
      <c r="B122" s="142"/>
    </row>
    <row r="123" spans="1:2" ht="13.8">
      <c r="A123" s="145"/>
      <c r="B123" s="142"/>
    </row>
    <row r="124" spans="1:2" ht="13.8">
      <c r="A124" s="145"/>
      <c r="B124" s="142"/>
    </row>
    <row r="125" spans="1:2" ht="13.8">
      <c r="A125" s="145"/>
      <c r="B125" s="142"/>
    </row>
    <row r="126" spans="1:2" ht="13.8">
      <c r="A126" s="145"/>
      <c r="B126" s="142"/>
    </row>
    <row r="127" spans="1:2" ht="13.8">
      <c r="A127" s="145"/>
      <c r="B127" s="142"/>
    </row>
    <row r="128" spans="1:2" ht="13.8">
      <c r="A128" s="145"/>
      <c r="B128" s="142"/>
    </row>
    <row r="129" spans="1:2" ht="13.8">
      <c r="A129" s="145"/>
      <c r="B129" s="142"/>
    </row>
    <row r="130" spans="1:2" ht="13.8">
      <c r="A130" s="145"/>
      <c r="B130" s="142"/>
    </row>
    <row r="131" spans="1:2" ht="13.8">
      <c r="A131" s="145"/>
      <c r="B131" s="142"/>
    </row>
    <row r="132" spans="1:2" ht="13.8">
      <c r="A132" s="145"/>
      <c r="B132" s="142"/>
    </row>
    <row r="133" spans="1:2" ht="13.8">
      <c r="A133" s="145"/>
      <c r="B133" s="142"/>
    </row>
    <row r="134" spans="1:2" ht="13.8">
      <c r="A134" s="145"/>
      <c r="B134" s="142"/>
    </row>
    <row r="135" spans="1:2" ht="13.8">
      <c r="A135" s="145"/>
      <c r="B135" s="142"/>
    </row>
    <row r="136" spans="1:2">
      <c r="A136" s="143"/>
      <c r="B136" s="142"/>
    </row>
    <row r="137" spans="1:2">
      <c r="A137" s="143"/>
      <c r="B137" s="142"/>
    </row>
    <row r="138" spans="1:2">
      <c r="A138" s="143"/>
      <c r="B138" s="142"/>
    </row>
    <row r="139" spans="1:2">
      <c r="A139" s="143"/>
      <c r="B139" s="142"/>
    </row>
    <row r="140" spans="1:2">
      <c r="A140" s="143"/>
      <c r="B140" s="142"/>
    </row>
    <row r="141" spans="1:2">
      <c r="A141" s="143"/>
      <c r="B141" s="142"/>
    </row>
    <row r="142" spans="1:2">
      <c r="A142" s="143"/>
      <c r="B142" s="142"/>
    </row>
    <row r="143" spans="1:2">
      <c r="A143" s="143"/>
      <c r="B143" s="142"/>
    </row>
    <row r="144" spans="1:2">
      <c r="A144" s="143"/>
      <c r="B144" s="142"/>
    </row>
    <row r="145" spans="1:2">
      <c r="A145" s="143"/>
      <c r="B145" s="142"/>
    </row>
    <row r="146" spans="1:2">
      <c r="A146" s="143"/>
      <c r="B146" s="142"/>
    </row>
    <row r="147" spans="1:2">
      <c r="A147" s="143"/>
      <c r="B147" s="142"/>
    </row>
    <row r="148" spans="1:2">
      <c r="A148" s="143"/>
      <c r="B148" s="142"/>
    </row>
    <row r="149" spans="1:2">
      <c r="A149" s="143"/>
      <c r="B149" s="142"/>
    </row>
    <row r="150" spans="1:2">
      <c r="A150" s="143"/>
      <c r="B150" s="142"/>
    </row>
    <row r="151" spans="1:2">
      <c r="A151" s="143"/>
      <c r="B151" s="142"/>
    </row>
    <row r="152" spans="1:2">
      <c r="A152" s="143"/>
      <c r="B152" s="142"/>
    </row>
    <row r="153" spans="1:2">
      <c r="A153" s="143"/>
      <c r="B153" s="142"/>
    </row>
    <row r="154" spans="1:2">
      <c r="A154" s="143"/>
      <c r="B154" s="142"/>
    </row>
    <row r="155" spans="1:2">
      <c r="A155" s="143"/>
      <c r="B155" s="142"/>
    </row>
    <row r="156" spans="1:2">
      <c r="A156" s="143"/>
      <c r="B156" s="142"/>
    </row>
    <row r="157" spans="1:2">
      <c r="A157" s="143"/>
      <c r="B157" s="142"/>
    </row>
    <row r="158" spans="1:2">
      <c r="A158" s="143"/>
      <c r="B158" s="142"/>
    </row>
    <row r="159" spans="1:2">
      <c r="A159" s="143"/>
      <c r="B159" s="142"/>
    </row>
    <row r="160" spans="1:2">
      <c r="A160" s="143"/>
      <c r="B160" s="142"/>
    </row>
    <row r="161" spans="1:2">
      <c r="A161" s="143"/>
      <c r="B161" s="142"/>
    </row>
    <row r="162" spans="1:2">
      <c r="A162" s="143"/>
      <c r="B162" s="142"/>
    </row>
    <row r="163" spans="1:2">
      <c r="A163" s="143"/>
      <c r="B163" s="142"/>
    </row>
    <row r="164" spans="1:2">
      <c r="A164" s="143"/>
      <c r="B164" s="142"/>
    </row>
    <row r="165" spans="1:2">
      <c r="A165" s="143"/>
      <c r="B165" s="142"/>
    </row>
    <row r="166" spans="1:2">
      <c r="A166" s="143"/>
      <c r="B166" s="142"/>
    </row>
    <row r="167" spans="1:2">
      <c r="A167" s="143"/>
      <c r="B167" s="142"/>
    </row>
    <row r="168" spans="1:2">
      <c r="A168" s="143"/>
      <c r="B168" s="142"/>
    </row>
    <row r="169" spans="1:2">
      <c r="A169" s="143"/>
      <c r="B169" s="142"/>
    </row>
    <row r="170" spans="1:2">
      <c r="A170" s="143"/>
      <c r="B170" s="142"/>
    </row>
    <row r="171" spans="1:2">
      <c r="A171" s="143"/>
      <c r="B171" s="142"/>
    </row>
    <row r="172" spans="1:2">
      <c r="A172" s="143"/>
      <c r="B172" s="142"/>
    </row>
    <row r="173" spans="1:2">
      <c r="A173" s="143"/>
      <c r="B173" s="142"/>
    </row>
    <row r="174" spans="1:2">
      <c r="A174" s="143"/>
      <c r="B174" s="142"/>
    </row>
    <row r="175" spans="1:2">
      <c r="A175" s="143"/>
      <c r="B175" s="142"/>
    </row>
    <row r="176" spans="1:2">
      <c r="A176" s="143"/>
      <c r="B176" s="142"/>
    </row>
    <row r="177" spans="1:2">
      <c r="A177" s="143"/>
      <c r="B177" s="142"/>
    </row>
    <row r="178" spans="1:2">
      <c r="A178" s="143"/>
      <c r="B178" s="142"/>
    </row>
    <row r="179" spans="1:2">
      <c r="A179" s="143"/>
      <c r="B179" s="142"/>
    </row>
    <row r="180" spans="1:2">
      <c r="A180" s="143"/>
      <c r="B180" s="142"/>
    </row>
    <row r="181" spans="1:2">
      <c r="A181" s="143"/>
      <c r="B181" s="142"/>
    </row>
    <row r="182" spans="1:2">
      <c r="A182" s="143"/>
      <c r="B182" s="142"/>
    </row>
    <row r="183" spans="1:2">
      <c r="A183" s="143"/>
      <c r="B183" s="142"/>
    </row>
    <row r="184" spans="1:2">
      <c r="A184" s="143"/>
      <c r="B184" s="142"/>
    </row>
    <row r="185" spans="1:2">
      <c r="A185" s="143"/>
      <c r="B185" s="142"/>
    </row>
    <row r="186" spans="1:2">
      <c r="A186" s="143"/>
      <c r="B186" s="142"/>
    </row>
    <row r="187" spans="1:2">
      <c r="A187" s="143"/>
      <c r="B187" s="142"/>
    </row>
    <row r="188" spans="1:2">
      <c r="A188" s="143"/>
      <c r="B188" s="142"/>
    </row>
    <row r="189" spans="1:2">
      <c r="A189" s="143"/>
      <c r="B189" s="142"/>
    </row>
    <row r="190" spans="1:2">
      <c r="A190" s="143"/>
      <c r="B190" s="142"/>
    </row>
    <row r="191" spans="1:2">
      <c r="A191" s="143"/>
      <c r="B191" s="142"/>
    </row>
    <row r="192" spans="1:2">
      <c r="A192" s="143"/>
      <c r="B192" s="142"/>
    </row>
    <row r="193" spans="1:2">
      <c r="A193" s="143"/>
      <c r="B193" s="142"/>
    </row>
    <row r="194" spans="1:2">
      <c r="A194" s="143"/>
      <c r="B194" s="142"/>
    </row>
    <row r="195" spans="1:2">
      <c r="A195" s="143"/>
      <c r="B195" s="142"/>
    </row>
    <row r="196" spans="1:2">
      <c r="A196" s="143"/>
      <c r="B196" s="142"/>
    </row>
    <row r="197" spans="1:2">
      <c r="A197" s="143"/>
      <c r="B197" s="142"/>
    </row>
    <row r="198" spans="1:2">
      <c r="A198" s="143"/>
      <c r="B198" s="142"/>
    </row>
    <row r="199" spans="1:2">
      <c r="A199" s="143"/>
      <c r="B199" s="142"/>
    </row>
    <row r="200" spans="1:2">
      <c r="A200" s="143"/>
      <c r="B200" s="142"/>
    </row>
    <row r="201" spans="1:2">
      <c r="A201" s="143"/>
      <c r="B201" s="142"/>
    </row>
    <row r="202" spans="1:2">
      <c r="A202" s="143"/>
      <c r="B202" s="142"/>
    </row>
    <row r="203" spans="1:2">
      <c r="A203" s="143"/>
      <c r="B203" s="142"/>
    </row>
    <row r="204" spans="1:2">
      <c r="A204" s="143"/>
      <c r="B204" s="142"/>
    </row>
    <row r="205" spans="1:2">
      <c r="A205" s="143"/>
      <c r="B205" s="142"/>
    </row>
    <row r="206" spans="1:2">
      <c r="A206" s="143"/>
      <c r="B206" s="142"/>
    </row>
    <row r="207" spans="1:2">
      <c r="A207" s="143"/>
      <c r="B207" s="142"/>
    </row>
    <row r="208" spans="1:2">
      <c r="A208" s="143"/>
      <c r="B208" s="142"/>
    </row>
    <row r="209" spans="1:2">
      <c r="A209" s="143"/>
      <c r="B209" s="142"/>
    </row>
    <row r="210" spans="1:2">
      <c r="A210" s="143"/>
      <c r="B210" s="142"/>
    </row>
    <row r="211" spans="1:2">
      <c r="A211" s="143"/>
      <c r="B211" s="142"/>
    </row>
    <row r="212" spans="1:2">
      <c r="A212" s="143"/>
      <c r="B212" s="142"/>
    </row>
    <row r="213" spans="1:2">
      <c r="A213" s="143"/>
      <c r="B213" s="142"/>
    </row>
    <row r="214" spans="1:2">
      <c r="A214" s="143"/>
      <c r="B214" s="142"/>
    </row>
    <row r="215" spans="1:2">
      <c r="A215" s="143"/>
      <c r="B215" s="142"/>
    </row>
    <row r="216" spans="1:2">
      <c r="A216" s="143"/>
      <c r="B216" s="142"/>
    </row>
    <row r="217" spans="1:2">
      <c r="A217" s="143"/>
      <c r="B217" s="142"/>
    </row>
    <row r="218" spans="1:2">
      <c r="A218" s="143"/>
      <c r="B218" s="142"/>
    </row>
    <row r="219" spans="1:2">
      <c r="A219" s="143"/>
      <c r="B219" s="142"/>
    </row>
    <row r="220" spans="1:2">
      <c r="A220" s="143"/>
      <c r="B220" s="142"/>
    </row>
    <row r="221" spans="1:2">
      <c r="A221" s="143"/>
      <c r="B221" s="142"/>
    </row>
    <row r="222" spans="1:2">
      <c r="A222" s="143"/>
      <c r="B222" s="142"/>
    </row>
    <row r="223" spans="1:2">
      <c r="A223" s="143"/>
      <c r="B223" s="142"/>
    </row>
    <row r="224" spans="1:2">
      <c r="A224" s="143"/>
      <c r="B224" s="142"/>
    </row>
    <row r="225" spans="1:3">
      <c r="A225" s="143"/>
      <c r="B225" s="142"/>
    </row>
    <row r="226" spans="1:3">
      <c r="A226" s="143"/>
      <c r="B226" s="142"/>
    </row>
    <row r="227" spans="1:3">
      <c r="A227" s="143"/>
      <c r="B227" s="142"/>
    </row>
    <row r="228" spans="1:3">
      <c r="A228" s="143"/>
      <c r="B228" s="142"/>
    </row>
    <row r="229" spans="1:3">
      <c r="A229" s="143"/>
      <c r="B229" s="142"/>
    </row>
    <row r="230" spans="1:3">
      <c r="A230" s="143"/>
      <c r="B230" s="142"/>
      <c r="C230" s="142"/>
    </row>
    <row r="231" spans="1:3">
      <c r="A231" s="143"/>
      <c r="B231" s="142"/>
      <c r="C231" s="142"/>
    </row>
    <row r="232" spans="1:3">
      <c r="A232" s="143"/>
      <c r="B232" s="142"/>
      <c r="C232" s="142"/>
    </row>
    <row r="233" spans="1:3">
      <c r="A233" s="143"/>
      <c r="B233" s="142"/>
      <c r="C233" s="142"/>
    </row>
    <row r="234" spans="1:3">
      <c r="A234" s="143"/>
      <c r="B234" s="142"/>
      <c r="C234" s="142"/>
    </row>
    <row r="235" spans="1:3">
      <c r="A235" s="143"/>
      <c r="B235" s="142"/>
      <c r="C235" s="142"/>
    </row>
    <row r="236" spans="1:3">
      <c r="A236" s="143"/>
      <c r="B236" s="142"/>
      <c r="C236" s="142"/>
    </row>
    <row r="237" spans="1:3">
      <c r="A237" s="143"/>
      <c r="B237" s="142"/>
      <c r="C237" s="142"/>
    </row>
    <row r="238" spans="1:3">
      <c r="A238" s="143"/>
      <c r="B238" s="142"/>
      <c r="C238" s="142"/>
    </row>
    <row r="239" spans="1:3">
      <c r="A239" s="143"/>
      <c r="B239" s="142"/>
      <c r="C239" s="142"/>
    </row>
    <row r="240" spans="1:3">
      <c r="A240" s="143"/>
      <c r="B240" s="142"/>
      <c r="C240" s="142"/>
    </row>
    <row r="241" spans="1:3">
      <c r="A241" s="143"/>
      <c r="B241" s="142"/>
      <c r="C241" s="142"/>
    </row>
    <row r="242" spans="1:3">
      <c r="A242" s="143"/>
      <c r="B242" s="142"/>
      <c r="C242" s="142"/>
    </row>
    <row r="243" spans="1:3">
      <c r="A243" s="143"/>
      <c r="B243" s="142"/>
      <c r="C243" s="142"/>
    </row>
    <row r="244" spans="1:3">
      <c r="A244" s="143"/>
      <c r="B244" s="142"/>
      <c r="C244" s="142"/>
    </row>
    <row r="245" spans="1:3">
      <c r="A245" s="143"/>
      <c r="B245" s="142"/>
      <c r="C245" s="142"/>
    </row>
    <row r="246" spans="1:3">
      <c r="A246" s="143"/>
      <c r="B246" s="142"/>
      <c r="C246" s="142"/>
    </row>
    <row r="247" spans="1:3">
      <c r="A247" s="143"/>
      <c r="B247" s="142"/>
      <c r="C247" s="142"/>
    </row>
    <row r="248" spans="1:3">
      <c r="A248" s="143"/>
      <c r="B248" s="142"/>
      <c r="C248" s="142"/>
    </row>
    <row r="249" spans="1:3">
      <c r="A249" s="143"/>
      <c r="B249" s="142"/>
      <c r="C249" s="142"/>
    </row>
    <row r="250" spans="1:3">
      <c r="A250" s="143"/>
      <c r="B250" s="142"/>
      <c r="C250" s="142"/>
    </row>
    <row r="251" spans="1:3">
      <c r="A251" s="143"/>
      <c r="B251" s="142"/>
      <c r="C251" s="142"/>
    </row>
    <row r="252" spans="1:3">
      <c r="A252" s="143"/>
      <c r="B252" s="142"/>
      <c r="C252" s="142"/>
    </row>
    <row r="253" spans="1:3">
      <c r="A253" s="143"/>
      <c r="B253" s="142"/>
      <c r="C253" s="142"/>
    </row>
    <row r="254" spans="1:3">
      <c r="A254" s="143"/>
      <c r="B254" s="142"/>
      <c r="C254" s="142"/>
    </row>
    <row r="255" spans="1:3">
      <c r="A255" s="143"/>
      <c r="B255" s="142"/>
      <c r="C255" s="142"/>
    </row>
  </sheetData>
  <pageMargins left="0.7" right="0.7" top="1" bottom="6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711008381A4489560F302ED63725A" ma:contentTypeVersion="11" ma:contentTypeDescription="Create a new document." ma:contentTypeScope="" ma:versionID="887cff17742744b02a1c83dd32c3b354">
  <xsd:schema xmlns:xsd="http://www.w3.org/2001/XMLSchema" xmlns:xs="http://www.w3.org/2001/XMLSchema" xmlns:p="http://schemas.microsoft.com/office/2006/metadata/properties" xmlns:ns3="642c2d5b-b5cd-4c4f-95a0-231891633038" xmlns:ns4="9d29759f-fdc3-4b89-93e8-7a818e788e93" targetNamespace="http://schemas.microsoft.com/office/2006/metadata/properties" ma:root="true" ma:fieldsID="eca4ca4c91a3a67dac508b2f26fcc458" ns3:_="" ns4:_="">
    <xsd:import namespace="642c2d5b-b5cd-4c4f-95a0-231891633038"/>
    <xsd:import namespace="9d29759f-fdc3-4b89-93e8-7a818e788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2d5b-b5cd-4c4f-95a0-231891633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9759f-fdc3-4b89-93e8-7a818e788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642c2d5b-b5cd-4c4f-95a0-231891633038"/>
    <ds:schemaRef ds:uri="http://purl.org/dc/elements/1.1/"/>
    <ds:schemaRef ds:uri="http://www.w3.org/XML/1998/namespace"/>
    <ds:schemaRef ds:uri="http://schemas.openxmlformats.org/package/2006/metadata/core-properties"/>
    <ds:schemaRef ds:uri="9d29759f-fdc3-4b89-93e8-7a818e788e9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D11575-6B8F-46EE-93E0-60356AADF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2d5b-b5cd-4c4f-95a0-231891633038"/>
    <ds:schemaRef ds:uri="9d29759f-fdc3-4b89-93e8-7a818e788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Oil Crops Chart Gallery Fig 3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Candice Wilson;Todd Hubbs;Dana Golden</dc:creator>
  <cp:keywords>soybeans, cottonseed, sunflower, peanuts, canola, supply, disappearance, price, USDA, U.S. Department of Agriculture, ERS, Economic Research Service</cp:keywords>
  <dc:description/>
  <cp:lastModifiedBy>Wilson, Candice - REE-ERS, Kansas City, MO</cp:lastModifiedBy>
  <cp:lastPrinted>2014-11-10T20:35:48Z</cp:lastPrinted>
  <dcterms:created xsi:type="dcterms:W3CDTF">2001-11-13T16:22:15Z</dcterms:created>
  <dcterms:modified xsi:type="dcterms:W3CDTF">2021-03-11T13:53:44Z</dcterms:modified>
  <cp:category>Oilseeds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0x010100509711008381A4489560F302ED63725A</vt:lpwstr>
  </property>
</Properties>
</file>