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2/OCS-22L December 2022/"/>
    </mc:Choice>
  </mc:AlternateContent>
  <xr:revisionPtr revIDLastSave="1074" documentId="8_{AC35F9B5-1D0E-4F7E-826E-9AEBF48E0988}" xr6:coauthVersionLast="47" xr6:coauthVersionMax="47" xr10:uidLastSave="{0F12696D-13E4-4E92-B1D8-330A5457E1B8}"/>
  <bookViews>
    <workbookView xWindow="-108" yWindow="-108" windowWidth="23256" windowHeight="12576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06" r:id="rId9"/>
    <sheet name="Figure 2" sheetId="107" r:id="rId10"/>
    <sheet name="Figure 3" sheetId="104" r:id="rId11"/>
    <sheet name="Figure 4" sheetId="105" r:id="rId12"/>
    <sheet name="Figure 5" sheetId="101" r:id="rId13"/>
  </sheets>
  <definedNames>
    <definedName name="_xlnm.Print_Area" localSheetId="1">'Table 1'!$A$1:$N$33</definedName>
    <definedName name="_xlnm.Print_Area" localSheetId="7">'Table 10'!$A$1:$G$38</definedName>
    <definedName name="_xlnm.Print_Area" localSheetId="2">'Table 2'!$A$1:$J$28</definedName>
    <definedName name="_xlnm.Print_Area" localSheetId="3">'Table 3'!$A$1:$L$41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9" l="1"/>
  <c r="J26" i="9"/>
  <c r="H26" i="2"/>
  <c r="D26" i="2"/>
  <c r="L31" i="1" l="1"/>
  <c r="G31" i="1"/>
  <c r="L26" i="9" l="1"/>
  <c r="J31" i="1"/>
  <c r="B11" i="2"/>
  <c r="I6" i="2"/>
  <c r="E6" i="2"/>
  <c r="B11" i="9"/>
  <c r="E6" i="9"/>
  <c r="K6" i="9" s="1"/>
  <c r="G6" i="9" s="1"/>
  <c r="B26" i="9"/>
  <c r="E26" i="9" s="1"/>
  <c r="K26" i="9" s="1"/>
  <c r="G26" i="9" s="1"/>
  <c r="B26" i="2"/>
  <c r="E26" i="2" l="1"/>
  <c r="I26" i="2" s="1"/>
  <c r="G26" i="2" s="1"/>
  <c r="F8" i="1"/>
  <c r="J23" i="9"/>
  <c r="H23" i="2"/>
  <c r="D23" i="9"/>
  <c r="D23" i="2"/>
  <c r="L27" i="1"/>
  <c r="G27" i="1"/>
  <c r="H22" i="2"/>
  <c r="G30" i="1"/>
  <c r="L30" i="1"/>
  <c r="J22" i="9" l="1"/>
  <c r="D22" i="9"/>
  <c r="D22" i="2"/>
  <c r="C12" i="101" l="1"/>
  <c r="C11" i="101"/>
  <c r="C10" i="101"/>
  <c r="C9" i="101"/>
  <c r="C8" i="101"/>
  <c r="C7" i="101"/>
  <c r="C6" i="101"/>
  <c r="C5" i="101"/>
  <c r="C4" i="101"/>
  <c r="C3" i="101"/>
  <c r="C2" i="101"/>
  <c r="E32" i="4" l="1"/>
  <c r="J25" i="1"/>
  <c r="J30" i="1"/>
  <c r="J6" i="3" l="1"/>
  <c r="I6" i="3" s="1"/>
  <c r="J7" i="3"/>
  <c r="I7" i="3" s="1"/>
  <c r="N46" i="3"/>
  <c r="N44" i="3"/>
  <c r="N45" i="3"/>
  <c r="L45" i="3"/>
  <c r="L46" i="3"/>
  <c r="L44" i="3"/>
  <c r="L7" i="9"/>
  <c r="J7" i="9"/>
  <c r="H23" i="9"/>
  <c r="D7" i="9"/>
  <c r="C23" i="9"/>
  <c r="B22" i="9"/>
  <c r="E22" i="9" s="1"/>
  <c r="K22" i="9" s="1"/>
  <c r="J7" i="2"/>
  <c r="B22" i="2"/>
  <c r="E22" i="2" s="1"/>
  <c r="I22" i="2" s="1"/>
  <c r="G22" i="2" s="1"/>
  <c r="C23" i="2"/>
  <c r="C7" i="2" s="1"/>
  <c r="E14" i="1"/>
  <c r="C7" i="9" l="1"/>
  <c r="G22" i="9"/>
  <c r="I22" i="9" s="1"/>
  <c r="B40" i="6" l="1"/>
  <c r="B40" i="5"/>
  <c r="B39" i="4"/>
  <c r="B50" i="3"/>
  <c r="B29" i="9"/>
  <c r="B29" i="2"/>
  <c r="B34" i="1"/>
  <c r="D21" i="9" l="1"/>
  <c r="D21" i="2"/>
  <c r="G25" i="1" l="1"/>
  <c r="J21" i="9" l="1"/>
  <c r="H21" i="2"/>
  <c r="L25" i="1" l="1"/>
  <c r="F14" i="1" l="1"/>
  <c r="G32" i="4" l="1"/>
  <c r="F32" i="4"/>
  <c r="D32" i="4"/>
  <c r="C32" i="4"/>
  <c r="B32" i="4"/>
  <c r="E26" i="1"/>
  <c r="F27" i="1"/>
  <c r="F7" i="1" s="1"/>
  <c r="N26" i="1"/>
  <c r="B21" i="2"/>
  <c r="E21" i="2" s="1"/>
  <c r="I21" i="2" s="1"/>
  <c r="G21" i="2" s="1"/>
  <c r="B21" i="9"/>
  <c r="E21" i="9" s="1"/>
  <c r="K21" i="9" s="1"/>
  <c r="N7" i="1" l="1"/>
  <c r="G21" i="9"/>
  <c r="J20" i="9"/>
  <c r="H20" i="2"/>
  <c r="I21" i="9" l="1"/>
  <c r="D20" i="9"/>
  <c r="D20" i="2"/>
  <c r="G24" i="1" l="1"/>
  <c r="L24" i="1" l="1"/>
  <c r="J24" i="1" l="1"/>
  <c r="B20" i="9"/>
  <c r="E20" i="9" s="1"/>
  <c r="K20" i="9" s="1"/>
  <c r="G20" i="9" s="1"/>
  <c r="I20" i="9" s="1"/>
  <c r="B20" i="2"/>
  <c r="E20" i="2" s="1"/>
  <c r="I20" i="2" s="1"/>
  <c r="G20" i="2" s="1"/>
  <c r="D46" i="3" l="1"/>
  <c r="H19" i="2" l="1"/>
  <c r="H18" i="2"/>
  <c r="H17" i="2"/>
  <c r="H16" i="2"/>
  <c r="H15" i="2"/>
  <c r="H14" i="2"/>
  <c r="H13" i="2"/>
  <c r="H12" i="2"/>
  <c r="H11" i="2"/>
  <c r="H7" i="2" s="1"/>
  <c r="D19" i="2"/>
  <c r="D18" i="2"/>
  <c r="D17" i="2"/>
  <c r="D16" i="2"/>
  <c r="D15" i="2"/>
  <c r="D14" i="2"/>
  <c r="D13" i="2"/>
  <c r="D12" i="2"/>
  <c r="D11" i="2"/>
  <c r="D7" i="2" l="1"/>
  <c r="D19" i="9"/>
  <c r="D18" i="9"/>
  <c r="D17" i="9"/>
  <c r="D16" i="9"/>
  <c r="D15" i="9"/>
  <c r="D14" i="9"/>
  <c r="D13" i="9"/>
  <c r="D12" i="9"/>
  <c r="D11" i="9"/>
  <c r="J19" i="9" l="1"/>
  <c r="J18" i="9"/>
  <c r="J17" i="9"/>
  <c r="J16" i="9"/>
  <c r="J15" i="9"/>
  <c r="J14" i="9"/>
  <c r="J13" i="9"/>
  <c r="J12" i="9"/>
  <c r="J11" i="9"/>
  <c r="G23" i="1" l="1"/>
  <c r="G26" i="1" s="1"/>
  <c r="H26" i="1" s="1"/>
  <c r="M26" i="1" s="1"/>
  <c r="G21" i="1"/>
  <c r="G20" i="1"/>
  <c r="G19" i="1"/>
  <c r="G17" i="1"/>
  <c r="G16" i="1"/>
  <c r="G15" i="1"/>
  <c r="G13" i="1"/>
  <c r="G12" i="1"/>
  <c r="G11" i="1"/>
  <c r="L23" i="1"/>
  <c r="L26" i="1" s="1"/>
  <c r="L21" i="1"/>
  <c r="L20" i="1"/>
  <c r="L19" i="1"/>
  <c r="L17" i="1"/>
  <c r="L16" i="1"/>
  <c r="L15" i="1"/>
  <c r="L13" i="1"/>
  <c r="L12" i="1"/>
  <c r="L11" i="1"/>
  <c r="J23" i="1" l="1"/>
  <c r="J26" i="1" s="1"/>
  <c r="K26" i="1" s="1"/>
  <c r="J21" i="1"/>
  <c r="J20" i="1"/>
  <c r="B19" i="9"/>
  <c r="E19" i="9" s="1"/>
  <c r="K19" i="9" s="1"/>
  <c r="G19" i="9" s="1"/>
  <c r="I19" i="9" s="1"/>
  <c r="B19" i="2"/>
  <c r="E19" i="2" s="1"/>
  <c r="I19" i="2" s="1"/>
  <c r="G19" i="2" s="1"/>
  <c r="E22" i="1" l="1"/>
  <c r="B18" i="2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6" i="3" l="1"/>
  <c r="H46" i="3" s="1"/>
  <c r="B33" i="3"/>
  <c r="E33" i="3" s="1"/>
  <c r="I33" i="3" s="1"/>
  <c r="G33" i="3" s="1"/>
  <c r="B21" i="3"/>
  <c r="E21" i="3" s="1"/>
  <c r="G21" i="3" s="1"/>
  <c r="I21" i="3" s="1"/>
  <c r="B8" i="3"/>
  <c r="E8" i="3" s="1"/>
  <c r="J8" i="3" s="1"/>
  <c r="I8" i="3" s="1"/>
  <c r="B8" i="9"/>
  <c r="E8" i="9" s="1"/>
  <c r="K8" i="9" s="1"/>
  <c r="G8" i="9" s="1"/>
  <c r="I8" i="9" s="1"/>
  <c r="B8" i="2"/>
  <c r="E8" i="2" s="1"/>
  <c r="I8" i="2" s="1"/>
  <c r="E8" i="1"/>
  <c r="D8" i="1"/>
  <c r="B16" i="9"/>
  <c r="B16" i="2"/>
  <c r="E16" i="2" s="1"/>
  <c r="I16" i="2" s="1"/>
  <c r="L22" i="1"/>
  <c r="J19" i="1"/>
  <c r="J22" i="1" s="1"/>
  <c r="G22" i="1"/>
  <c r="H8" i="1" l="1"/>
  <c r="M8" i="1" s="1"/>
  <c r="K8" i="1" s="1"/>
  <c r="H22" i="1"/>
  <c r="M22" i="1" s="1"/>
  <c r="K22" i="1" s="1"/>
  <c r="E16" i="9"/>
  <c r="K16" i="9" s="1"/>
  <c r="G16" i="9" s="1"/>
  <c r="I16" i="9" s="1"/>
  <c r="G16" i="2"/>
  <c r="J17" i="1"/>
  <c r="B15" i="9"/>
  <c r="B15" i="2"/>
  <c r="E18" i="1"/>
  <c r="E15" i="9" l="1"/>
  <c r="K15" i="9" s="1"/>
  <c r="G15" i="9" s="1"/>
  <c r="I15" i="9" s="1"/>
  <c r="E15" i="2"/>
  <c r="I15" i="2" s="1"/>
  <c r="G15" i="2" s="1"/>
  <c r="J16" i="1" l="1"/>
  <c r="B14" i="9"/>
  <c r="E14" i="9" s="1"/>
  <c r="K14" i="9" s="1"/>
  <c r="G14" i="9" s="1"/>
  <c r="I14" i="9" s="1"/>
  <c r="B14" i="2"/>
  <c r="E14" i="2" s="1"/>
  <c r="I14" i="2" s="1"/>
  <c r="G14" i="2" s="1"/>
  <c r="L18" i="1"/>
  <c r="G18" i="1"/>
  <c r="H18" i="1" s="1"/>
  <c r="M18" i="1" s="1"/>
  <c r="J15" i="1"/>
  <c r="J13" i="1"/>
  <c r="J18" i="1" l="1"/>
  <c r="K18" i="1" s="1"/>
  <c r="B13" i="9"/>
  <c r="E13" i="9" s="1"/>
  <c r="K13" i="9" s="1"/>
  <c r="G13" i="9" s="1"/>
  <c r="I13" i="9" s="1"/>
  <c r="B13" i="2"/>
  <c r="E13" i="2" s="1"/>
  <c r="I13" i="2" s="1"/>
  <c r="G13" i="2" s="1"/>
  <c r="B12" i="9" l="1"/>
  <c r="B12" i="2"/>
  <c r="E12" i="9" l="1"/>
  <c r="K12" i="9" s="1"/>
  <c r="G12" i="9" s="1"/>
  <c r="I12" i="9" s="1"/>
  <c r="E12" i="2"/>
  <c r="I12" i="2" s="1"/>
  <c r="G12" i="2" s="1"/>
  <c r="J12" i="1" l="1"/>
  <c r="E11" i="9" l="1"/>
  <c r="K11" i="9" s="1"/>
  <c r="E23" i="9"/>
  <c r="E7" i="9" s="1"/>
  <c r="E11" i="2"/>
  <c r="I11" i="2" s="1"/>
  <c r="E23" i="2"/>
  <c r="E7" i="2" s="1"/>
  <c r="B20" i="3"/>
  <c r="G11" i="9" l="1"/>
  <c r="K23" i="9"/>
  <c r="G11" i="2"/>
  <c r="G23" i="2" s="1"/>
  <c r="G7" i="2" s="1"/>
  <c r="I23" i="2"/>
  <c r="I7" i="2" s="1"/>
  <c r="L14" i="1"/>
  <c r="L7" i="1" s="1"/>
  <c r="G14" i="1"/>
  <c r="I11" i="9" l="1"/>
  <c r="I23" i="9" s="1"/>
  <c r="G23" i="9"/>
  <c r="H27" i="1"/>
  <c r="G7" i="1"/>
  <c r="H14" i="1"/>
  <c r="M14" i="1" s="1"/>
  <c r="M27" i="1" s="1"/>
  <c r="J11" i="1"/>
  <c r="J14" i="1" s="1"/>
  <c r="J27" i="1" s="1"/>
  <c r="J7" i="1" s="1"/>
  <c r="K14" i="1" l="1"/>
  <c r="K27" i="1" s="1"/>
  <c r="D45" i="3" l="1"/>
  <c r="B7" i="9"/>
  <c r="D7" i="1"/>
  <c r="I19" i="3" l="1"/>
  <c r="B7" i="2" l="1"/>
  <c r="K7" i="9" l="1"/>
  <c r="G7" i="9" s="1"/>
  <c r="I7" i="9" s="1"/>
  <c r="B7" i="3" l="1"/>
  <c r="E7" i="3" s="1"/>
  <c r="E20" i="3"/>
  <c r="G20" i="3" s="1"/>
  <c r="I20" i="3" s="1"/>
  <c r="B32" i="3"/>
  <c r="E45" i="3"/>
  <c r="H45" i="3" s="1"/>
  <c r="D44" i="3"/>
  <c r="E32" i="3" l="1"/>
  <c r="I32" i="3" s="1"/>
  <c r="G32" i="3" s="1"/>
  <c r="E19" i="3" l="1"/>
  <c r="H44" i="3" l="1"/>
  <c r="E31" i="3"/>
  <c r="E6" i="3"/>
  <c r="I31" i="3" l="1"/>
  <c r="G31" i="3" s="1"/>
  <c r="D6" i="1" l="1"/>
  <c r="H6" i="1" l="1"/>
  <c r="M6" i="1" s="1"/>
  <c r="K6" i="1" s="1"/>
  <c r="E7" i="1" l="1"/>
  <c r="H7" i="1" s="1"/>
  <c r="M7" i="1" s="1"/>
  <c r="K7" i="1" s="1"/>
</calcChain>
</file>

<file path=xl/sharedStrings.xml><?xml version="1.0" encoding="utf-8"?>
<sst xmlns="http://schemas.openxmlformats.org/spreadsheetml/2006/main" count="570" uniqueCount="247">
  <si>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</si>
  <si>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</si>
  <si>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</si>
  <si>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</si>
  <si>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</si>
  <si>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</si>
  <si>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</si>
  <si>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</si>
  <si>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</si>
  <si>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</si>
  <si>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</si>
  <si>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</si>
  <si>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</si>
  <si>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</si>
  <si>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</si>
  <si>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</si>
  <si>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</si>
  <si>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</si>
  <si>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</si>
  <si>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</si>
  <si>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</si>
  <si>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</si>
  <si>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</si>
  <si>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</si>
  <si>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</si>
  <si>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</si>
  <si>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</si>
  <si>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</si>
  <si>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</si>
  <si>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</si>
  <si>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</si>
  <si>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</si>
  <si>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</si>
  <si>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</si>
  <si>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</si>
  <si>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</si>
  <si>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</si>
  <si>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</si>
  <si>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</si>
  <si>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</si>
  <si>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</si>
  <si>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</si>
  <si>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</si>
  <si>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</si>
  <si>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</si>
  <si>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</si>
  <si>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</si>
  <si>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</si>
  <si>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</si>
  <si>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</si>
  <si>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</si>
  <si>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</si>
  <si>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</si>
  <si>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</si>
  <si>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</si>
  <si>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</si>
  <si>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</si>
  <si>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</si>
  <si>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</si>
  <si>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</si>
  <si>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</si>
  <si>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</si>
  <si>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</si>
  <si>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</si>
  <si>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</si>
  <si>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</si>
  <si>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</si>
  <si>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</si>
  <si>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</si>
  <si>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</si>
  <si>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</si>
  <si>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</si>
  <si>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</si>
  <si>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</si>
  <si>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</si>
  <si>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</si>
  <si>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</si>
  <si>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</si>
  <si>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</si>
  <si>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</si>
  <si>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</si>
  <si>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</si>
  <si>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</si>
  <si>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</si>
  <si>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</si>
  <si>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</si>
  <si>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</si>
  <si>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</si>
  <si>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</si>
  <si>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</si>
  <si>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</si>
  <si>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</si>
  <si>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</si>
  <si>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</si>
  <si>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</si>
  <si>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</si>
  <si>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</si>
  <si>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</si>
  <si>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</si>
  <si>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</si>
  <si>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</si>
  <si>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</si>
  <si>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</si>
  <si>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</si>
  <si>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</si>
  <si>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</si>
  <si>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</si>
  <si>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</si>
  <si>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</si>
  <si>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</si>
  <si>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</si>
  <si>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</si>
  <si>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</si>
  <si>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</si>
  <si>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</si>
  <si>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</si>
  <si>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</si>
  <si>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</si>
  <si>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2021/22</t>
    </r>
    <r>
      <rPr>
        <vertAlign val="superscript"/>
        <sz val="11"/>
        <rFont val="Arial"/>
        <family val="2"/>
      </rPr>
      <t>4</t>
    </r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</si>
  <si>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</si>
  <si>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</si>
  <si>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</si>
  <si>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</si>
  <si>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</si>
  <si>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</si>
  <si>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</si>
  <si>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</si>
  <si>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</si>
  <si>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</si>
  <si>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</si>
  <si>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</si>
  <si>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</si>
  <si>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</si>
  <si>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</si>
  <si>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</si>
  <si>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</si>
  <si>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</si>
  <si>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2021/22</t>
    </r>
    <r>
      <rPr>
        <vertAlign val="superscript"/>
        <sz val="11"/>
        <rFont val="Arial"/>
        <family val="2"/>
      </rPr>
      <t>7</t>
    </r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</si>
  <si>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</si>
  <si>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</si>
  <si>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</si>
  <si>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</si>
  <si>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</si>
  <si>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</si>
  <si>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</si>
  <si>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</si>
  <si>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</si>
  <si>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</si>
  <si>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</si>
  <si>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</si>
  <si>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</si>
  <si>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</si>
  <si>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</si>
  <si>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</si>
  <si>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</si>
  <si>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</si>
  <si>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2022/23</t>
  </si>
  <si>
    <t>Oct. 2021</t>
  </si>
  <si>
    <t>Nov. 2021</t>
  </si>
  <si>
    <t>Dec. 2021</t>
  </si>
  <si>
    <t>Jan. 2022</t>
  </si>
  <si>
    <t>Feb. 2022</t>
  </si>
  <si>
    <t>Mar. 2022</t>
  </si>
  <si>
    <t>Apr. 2022</t>
  </si>
  <si>
    <t>Jun. 2022</t>
  </si>
  <si>
    <t>Jul. 2022</t>
  </si>
  <si>
    <t>Aug. 2022</t>
  </si>
  <si>
    <t>Sep. 2022</t>
  </si>
  <si>
    <t>Week ending</t>
  </si>
  <si>
    <t>2022/23 Nov.*</t>
  </si>
  <si>
    <t>Poultry</t>
  </si>
  <si>
    <t>Tallow</t>
  </si>
  <si>
    <t>White grease</t>
  </si>
  <si>
    <t>2022/23 Dec.*</t>
  </si>
  <si>
    <t>Oct. 6</t>
  </si>
  <si>
    <t>Oct. 13</t>
  </si>
  <si>
    <t>Oct. 20</t>
  </si>
  <si>
    <t>Oct. 27</t>
  </si>
  <si>
    <t>Nov. 3</t>
  </si>
  <si>
    <t>Nov. 10</t>
  </si>
  <si>
    <t>Nov. 17</t>
  </si>
  <si>
    <t>Nov. 24</t>
  </si>
  <si>
    <t>Dec. 1</t>
  </si>
  <si>
    <t>Dec. 8</t>
  </si>
  <si>
    <t>Dec. 15</t>
  </si>
  <si>
    <t>Dec. 22</t>
  </si>
  <si>
    <t>Dec. 29</t>
  </si>
  <si>
    <t>Jan. 5</t>
  </si>
  <si>
    <t>Jan. 12</t>
  </si>
  <si>
    <t>Jan. 19</t>
  </si>
  <si>
    <t>Jan. 26</t>
  </si>
  <si>
    <t>Feb. 2</t>
  </si>
  <si>
    <t>Feb. 9</t>
  </si>
  <si>
    <t>Feb. 16</t>
  </si>
  <si>
    <t>Feb. 23</t>
  </si>
  <si>
    <t>Mar. 2</t>
  </si>
  <si>
    <t>Mar. 9</t>
  </si>
  <si>
    <t>Mar. 16</t>
  </si>
  <si>
    <t>Mar. 23</t>
  </si>
  <si>
    <t>Mar. 30</t>
  </si>
  <si>
    <t>Apr. 6</t>
  </si>
  <si>
    <t>Apr. 13</t>
  </si>
  <si>
    <t>Apr. 20</t>
  </si>
  <si>
    <t>Apr. 27</t>
  </si>
  <si>
    <t>May 4</t>
  </si>
  <si>
    <t>May 11</t>
  </si>
  <si>
    <t>May 18</t>
  </si>
  <si>
    <t>May 25</t>
  </si>
  <si>
    <t>Jun. 1</t>
  </si>
  <si>
    <t>Jun. 8</t>
  </si>
  <si>
    <t>Jun. 15</t>
  </si>
  <si>
    <t>Jun. 22</t>
  </si>
  <si>
    <t>Jun. 29</t>
  </si>
  <si>
    <t>Jul. 6</t>
  </si>
  <si>
    <t>Jul. 13</t>
  </si>
  <si>
    <t>Jul. 20</t>
  </si>
  <si>
    <t>Jul. 27</t>
  </si>
  <si>
    <t>Aug. 3</t>
  </si>
  <si>
    <t>Aug. 10</t>
  </si>
  <si>
    <t>Aug. 17</t>
  </si>
  <si>
    <t>Aug. 24</t>
  </si>
  <si>
    <t>Aug. 31</t>
  </si>
  <si>
    <t>Sep. 7</t>
  </si>
  <si>
    <t>Sep. 14</t>
  </si>
  <si>
    <t>Sep. 21</t>
  </si>
  <si>
    <t>Sep. 28</t>
  </si>
  <si>
    <t>Million gallons</t>
  </si>
  <si>
    <t>Month</t>
  </si>
  <si>
    <t>Biodiesel</t>
  </si>
  <si>
    <t>Renewable diesel fuel</t>
  </si>
  <si>
    <t>Other biofuels</t>
  </si>
  <si>
    <t>Soybean oil</t>
  </si>
  <si>
    <t>Corn oil</t>
  </si>
  <si>
    <t>Canola oil</t>
  </si>
  <si>
    <t>Tallow (beef)</t>
  </si>
  <si>
    <t>Yellow grease</t>
  </si>
  <si>
    <t>W</t>
  </si>
  <si>
    <t>May 2022</t>
  </si>
  <si>
    <t>Note: W - Withheld to avoid disclosure of individual company data.</t>
  </si>
  <si>
    <t>Other recycled feeds and wastes</t>
  </si>
  <si>
    <t>Other waste oils, fats, and greases</t>
  </si>
  <si>
    <t>Waste oils, fats, and greases</t>
  </si>
  <si>
    <t>Vegetable oils</t>
  </si>
  <si>
    <t>Recycled feeds and wastes</t>
  </si>
  <si>
    <t>Distribution of vegetable oils, fats, and greases consumed for produciton of U.S. biofuels in 2021/22</t>
  </si>
  <si>
    <t>Total supply</t>
  </si>
  <si>
    <t>Ending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</si>
</sst>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mm/dd/yy"/>
    <numFmt numFmtId="174" formatCode="#,##0.0000"/>
    <numFmt numFmtId="175" formatCode="#,##0.0_);\(#,##0.0\)"/>
    <numFmt numFmtId="176" formatCode="_(* #,##0.0_);_(* \(#,##0.0\);_(* &quot;-&quot;_);_(@_)"/>
    <numFmt numFmtId="178" formatCode="0.0000%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44">
    <xf numFmtId="0" fontId="0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2" fillId="0" borderId="0"/>
    <xf numFmtId="0" fontId="17" fillId="0" borderId="0"/>
    <xf numFmtId="0" fontId="16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31">
    <xf numFmtId="0" fontId="0" fillId="0" borderId="0" xfId="0"/>
    <xf numFmtId="0" fontId="19" fillId="0" borderId="0" xfId="8" applyFont="1"/>
    <xf numFmtId="0" fontId="20" fillId="0" borderId="0" xfId="8" applyFont="1"/>
    <xf numFmtId="0" fontId="25" fillId="0" borderId="0" xfId="8" applyFont="1" applyFill="1"/>
    <xf numFmtId="0" fontId="26" fillId="0" borderId="0" xfId="8" applyFont="1"/>
    <xf numFmtId="169" fontId="27" fillId="0" borderId="0" xfId="1" applyNumberFormat="1" applyFont="1" applyFill="1" applyBorder="1" applyAlignment="1">
      <alignment horizontal="center"/>
    </xf>
    <xf numFmtId="169" fontId="27" fillId="0" borderId="0" xfId="1" applyNumberFormat="1" applyFont="1" applyFill="1" applyBorder="1" applyAlignment="1">
      <alignment horizontal="right" indent="1"/>
    </xf>
    <xf numFmtId="0" fontId="33" fillId="0" borderId="0" xfId="7" applyFont="1" applyAlignment="1">
      <alignment horizontal="left"/>
    </xf>
    <xf numFmtId="0" fontId="34" fillId="0" borderId="0" xfId="5" applyFont="1" applyAlignment="1" applyProtection="1"/>
    <xf numFmtId="14" fontId="33" fillId="0" borderId="0" xfId="7" applyNumberFormat="1" applyFont="1" applyAlignment="1">
      <alignment horizontal="left"/>
    </xf>
    <xf numFmtId="0" fontId="34" fillId="0" borderId="0" xfId="4" applyFont="1" applyAlignment="1" applyProtection="1"/>
    <xf numFmtId="0" fontId="27" fillId="0" borderId="0" xfId="7" quotePrefix="1" applyFont="1" applyAlignment="1">
      <alignment horizontal="left"/>
    </xf>
    <xf numFmtId="0" fontId="27" fillId="0" borderId="0" xfId="8" applyFont="1" applyBorder="1" applyAlignment="1">
      <alignment wrapText="1"/>
    </xf>
    <xf numFmtId="169" fontId="27" fillId="0" borderId="0" xfId="1" applyNumberFormat="1" applyFont="1" applyFill="1" applyBorder="1" applyAlignment="1">
      <alignment horizontal="right"/>
    </xf>
    <xf numFmtId="2" fontId="27" fillId="0" borderId="1" xfId="0" applyNumberFormat="1" applyFont="1" applyFill="1" applyBorder="1" applyAlignment="1">
      <alignment horizontal="right" indent="2"/>
    </xf>
    <xf numFmtId="0" fontId="27" fillId="0" borderId="1" xfId="0" applyFont="1" applyFill="1" applyBorder="1"/>
    <xf numFmtId="0" fontId="0" fillId="0" borderId="0" xfId="0" applyFill="1"/>
    <xf numFmtId="0" fontId="27" fillId="0" borderId="0" xfId="0" applyFont="1" applyFill="1"/>
    <xf numFmtId="0" fontId="27" fillId="0" borderId="2" xfId="0" applyFont="1" applyFill="1" applyBorder="1" applyAlignment="1">
      <alignment horizontal="right"/>
    </xf>
    <xf numFmtId="0" fontId="27" fillId="0" borderId="0" xfId="0" applyFont="1" applyFill="1" applyAlignment="1">
      <alignment horizontal="center"/>
    </xf>
    <xf numFmtId="0" fontId="0" fillId="0" borderId="2" xfId="0" applyFill="1" applyBorder="1"/>
    <xf numFmtId="0" fontId="27" fillId="0" borderId="0" xfId="0" applyFont="1" applyFill="1" applyBorder="1"/>
    <xf numFmtId="0" fontId="27" fillId="0" borderId="2" xfId="0" applyFont="1" applyFill="1" applyBorder="1" applyAlignment="1">
      <alignment horizontal="left"/>
    </xf>
    <xf numFmtId="0" fontId="27" fillId="0" borderId="0" xfId="0" applyFont="1" applyFill="1" applyAlignment="1">
      <alignment horizontal="right"/>
    </xf>
    <xf numFmtId="16" fontId="27" fillId="0" borderId="1" xfId="0" quotePrefix="1" applyNumberFormat="1" applyFont="1" applyFill="1" applyBorder="1"/>
    <xf numFmtId="16" fontId="27" fillId="0" borderId="1" xfId="0" applyNumberFormat="1" applyFont="1" applyFill="1" applyBorder="1"/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right"/>
    </xf>
    <xf numFmtId="0" fontId="27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28" fillId="0" borderId="3" xfId="0" quotePrefix="1" applyFont="1" applyFill="1" applyBorder="1" applyAlignment="1">
      <alignment horizontal="center"/>
    </xf>
    <xf numFmtId="0" fontId="28" fillId="0" borderId="0" xfId="0" quotePrefix="1" applyFont="1" applyFill="1" applyAlignment="1">
      <alignment horizontal="right"/>
    </xf>
    <xf numFmtId="167" fontId="27" fillId="0" borderId="0" xfId="0" applyNumberFormat="1" applyFont="1" applyFill="1" applyAlignment="1">
      <alignment horizontal="center"/>
    </xf>
    <xf numFmtId="165" fontId="27" fillId="0" borderId="0" xfId="1" applyNumberFormat="1" applyFont="1" applyFill="1" applyAlignment="1">
      <alignment horizontal="left"/>
    </xf>
    <xf numFmtId="165" fontId="27" fillId="0" borderId="0" xfId="1" applyNumberFormat="1" applyFont="1" applyFill="1" applyAlignment="1">
      <alignment horizontal="center"/>
    </xf>
    <xf numFmtId="3" fontId="27" fillId="0" borderId="0" xfId="1" applyNumberFormat="1" applyFont="1" applyFill="1" applyBorder="1" applyAlignment="1">
      <alignment horizontal="right" indent="1"/>
    </xf>
    <xf numFmtId="164" fontId="27" fillId="0" borderId="0" xfId="1" applyNumberFormat="1" applyFont="1" applyFill="1" applyBorder="1"/>
    <xf numFmtId="164" fontId="27" fillId="0" borderId="0" xfId="1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33" fillId="0" borderId="0" xfId="0" applyFont="1" applyFill="1"/>
    <xf numFmtId="169" fontId="27" fillId="0" borderId="0" xfId="1" quotePrefix="1" applyNumberFormat="1" applyFont="1" applyFill="1" applyBorder="1" applyAlignment="1">
      <alignment horizontal="right"/>
    </xf>
    <xf numFmtId="164" fontId="27" fillId="0" borderId="0" xfId="1" applyNumberFormat="1" applyFont="1" applyFill="1" applyBorder="1" applyAlignment="1">
      <alignment horizontal="center"/>
    </xf>
    <xf numFmtId="164" fontId="27" fillId="0" borderId="0" xfId="1" quotePrefix="1" applyNumberFormat="1" applyFont="1" applyFill="1" applyBorder="1" applyAlignment="1">
      <alignment horizontal="center"/>
    </xf>
    <xf numFmtId="169" fontId="0" fillId="0" borderId="0" xfId="0" applyNumberFormat="1" applyFill="1"/>
    <xf numFmtId="169" fontId="27" fillId="0" borderId="1" xfId="1" applyNumberFormat="1" applyFont="1" applyFill="1" applyBorder="1" applyAlignment="1">
      <alignment horizontal="right" indent="1"/>
    </xf>
    <xf numFmtId="164" fontId="27" fillId="0" borderId="0" xfId="1" applyNumberFormat="1" applyFont="1" applyFill="1"/>
    <xf numFmtId="14" fontId="27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27" fillId="0" borderId="0" xfId="1" applyNumberFormat="1" applyFont="1" applyFill="1" applyAlignment="1">
      <alignment horizontal="right" indent="2"/>
    </xf>
    <xf numFmtId="3" fontId="27" fillId="0" borderId="0" xfId="1" applyNumberFormat="1" applyFont="1" applyFill="1" applyAlignment="1">
      <alignment horizontal="right" indent="1"/>
    </xf>
    <xf numFmtId="3" fontId="27" fillId="0" borderId="0" xfId="1" applyNumberFormat="1" applyFont="1" applyFill="1" applyAlignment="1">
      <alignment horizontal="center"/>
    </xf>
    <xf numFmtId="0" fontId="33" fillId="0" borderId="0" xfId="0" applyFont="1" applyFill="1" applyBorder="1"/>
    <xf numFmtId="169" fontId="27" fillId="0" borderId="0" xfId="1" applyNumberFormat="1" applyFont="1" applyFill="1" applyBorder="1" applyAlignment="1">
      <alignment horizontal="right" indent="2"/>
    </xf>
    <xf numFmtId="169" fontId="27" fillId="0" borderId="1" xfId="1" applyNumberFormat="1" applyFont="1" applyFill="1" applyBorder="1" applyAlignment="1">
      <alignment horizontal="right" indent="2"/>
    </xf>
    <xf numFmtId="0" fontId="29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27" fillId="0" borderId="1" xfId="1" applyNumberFormat="1" applyFont="1" applyFill="1" applyBorder="1" applyAlignment="1">
      <alignment horizontal="center"/>
    </xf>
    <xf numFmtId="165" fontId="27" fillId="0" borderId="1" xfId="1" applyNumberFormat="1" applyFont="1" applyFill="1" applyBorder="1" applyAlignment="1">
      <alignment horizontal="right"/>
    </xf>
    <xf numFmtId="16" fontId="27" fillId="0" borderId="0" xfId="0" applyNumberFormat="1" applyFont="1" applyFill="1" applyBorder="1"/>
    <xf numFmtId="0" fontId="28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right" indent="2"/>
    </xf>
    <xf numFmtId="170" fontId="27" fillId="0" borderId="0" xfId="0" applyNumberFormat="1" applyFont="1" applyFill="1" applyBorder="1"/>
    <xf numFmtId="43" fontId="27" fillId="0" borderId="0" xfId="1" quotePrefix="1" applyNumberFormat="1" applyFont="1" applyFill="1" applyBorder="1" applyAlignment="1">
      <alignment horizontal="center"/>
    </xf>
    <xf numFmtId="166" fontId="27" fillId="0" borderId="0" xfId="1" quotePrefix="1" applyNumberFormat="1" applyFont="1" applyFill="1" applyBorder="1" applyAlignment="1">
      <alignment horizontal="center"/>
    </xf>
    <xf numFmtId="43" fontId="27" fillId="0" borderId="0" xfId="1" quotePrefix="1" applyFont="1" applyFill="1" applyBorder="1" applyAlignment="1">
      <alignment horizontal="center"/>
    </xf>
    <xf numFmtId="43" fontId="27" fillId="0" borderId="0" xfId="1" applyNumberFormat="1" applyFont="1" applyFill="1" applyBorder="1" applyAlignment="1">
      <alignment horizontal="center"/>
    </xf>
    <xf numFmtId="0" fontId="33" fillId="0" borderId="0" xfId="0" quotePrefix="1" applyFont="1" applyFill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indent="1"/>
    </xf>
    <xf numFmtId="0" fontId="27" fillId="0" borderId="3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8" fillId="0" borderId="3" xfId="0" quotePrefix="1" applyFont="1" applyFill="1" applyBorder="1" applyAlignment="1"/>
    <xf numFmtId="0" fontId="28" fillId="0" borderId="3" xfId="0" applyFont="1" applyFill="1" applyBorder="1" applyAlignment="1"/>
    <xf numFmtId="43" fontId="27" fillId="0" borderId="0" xfId="1" applyNumberFormat="1" applyFont="1" applyFill="1" applyBorder="1"/>
    <xf numFmtId="2" fontId="27" fillId="0" borderId="0" xfId="0" applyNumberFormat="1" applyFont="1" applyFill="1" applyBorder="1" applyAlignment="1">
      <alignment horizontal="center"/>
    </xf>
    <xf numFmtId="43" fontId="27" fillId="0" borderId="0" xfId="0" applyNumberFormat="1" applyFont="1" applyFill="1"/>
    <xf numFmtId="0" fontId="22" fillId="0" borderId="0" xfId="0" applyFont="1" applyFill="1"/>
    <xf numFmtId="2" fontId="0" fillId="0" borderId="0" xfId="0" applyNumberFormat="1" applyFill="1"/>
    <xf numFmtId="165" fontId="27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27" fillId="0" borderId="0" xfId="1" applyFont="1" applyFill="1" applyBorder="1" applyAlignment="1">
      <alignment horizontal="center"/>
    </xf>
    <xf numFmtId="43" fontId="0" fillId="0" borderId="0" xfId="1" applyFont="1" applyFill="1"/>
    <xf numFmtId="0" fontId="31" fillId="0" borderId="0" xfId="0" applyFont="1" applyFill="1" applyAlignment="1">
      <alignment vertical="center"/>
    </xf>
    <xf numFmtId="168" fontId="27" fillId="0" borderId="0" xfId="0" applyNumberFormat="1" applyFont="1" applyFill="1"/>
    <xf numFmtId="2" fontId="27" fillId="0" borderId="0" xfId="0" applyNumberFormat="1" applyFont="1" applyFill="1"/>
    <xf numFmtId="43" fontId="0" fillId="0" borderId="0" xfId="1" applyFont="1" applyFill="1" applyBorder="1"/>
    <xf numFmtId="43" fontId="0" fillId="0" borderId="0" xfId="0" applyNumberFormat="1" applyFill="1"/>
    <xf numFmtId="0" fontId="27" fillId="0" borderId="3" xfId="0" applyFont="1" applyFill="1" applyBorder="1"/>
    <xf numFmtId="0" fontId="27" fillId="0" borderId="0" xfId="0" applyFont="1" applyFill="1" applyBorder="1" applyAlignment="1">
      <alignment horizontal="right"/>
    </xf>
    <xf numFmtId="165" fontId="27" fillId="0" borderId="0" xfId="1" applyNumberFormat="1" applyFont="1" applyFill="1"/>
    <xf numFmtId="37" fontId="27" fillId="0" borderId="0" xfId="1" applyNumberFormat="1" applyFont="1" applyFill="1" applyBorder="1" applyAlignment="1">
      <alignment horizontal="center"/>
    </xf>
    <xf numFmtId="37" fontId="27" fillId="0" borderId="0" xfId="1" applyNumberFormat="1" applyFont="1" applyFill="1" applyBorder="1" applyAlignment="1">
      <alignment horizontal="right" indent="2"/>
    </xf>
    <xf numFmtId="165" fontId="27" fillId="0" borderId="0" xfId="1" applyNumberFormat="1" applyFont="1" applyFill="1" applyBorder="1"/>
    <xf numFmtId="37" fontId="27" fillId="0" borderId="0" xfId="1" applyNumberFormat="1" applyFont="1" applyFill="1" applyBorder="1" applyAlignment="1">
      <alignment horizontal="right" indent="1"/>
    </xf>
    <xf numFmtId="37" fontId="27" fillId="0" borderId="1" xfId="1" applyNumberFormat="1" applyFont="1" applyFill="1" applyBorder="1" applyAlignment="1">
      <alignment horizontal="center"/>
    </xf>
    <xf numFmtId="37" fontId="27" fillId="0" borderId="1" xfId="1" applyNumberFormat="1" applyFont="1" applyFill="1" applyBorder="1" applyAlignment="1">
      <alignment horizontal="right" indent="2"/>
    </xf>
    <xf numFmtId="165" fontId="27" fillId="0" borderId="1" xfId="1" applyNumberFormat="1" applyFont="1" applyFill="1" applyBorder="1"/>
    <xf numFmtId="37" fontId="27" fillId="0" borderId="1" xfId="1" applyNumberFormat="1" applyFont="1" applyFill="1" applyBorder="1" applyAlignment="1">
      <alignment horizontal="right" indent="1"/>
    </xf>
    <xf numFmtId="9" fontId="27" fillId="0" borderId="0" xfId="12" applyFont="1" applyFill="1"/>
    <xf numFmtId="1" fontId="27" fillId="0" borderId="0" xfId="0" applyNumberFormat="1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28" fillId="0" borderId="4" xfId="0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3" fontId="0" fillId="0" borderId="0" xfId="0" applyNumberFormat="1" applyFill="1"/>
    <xf numFmtId="169" fontId="27" fillId="0" borderId="0" xfId="1" applyNumberFormat="1" applyFont="1" applyFill="1" applyAlignment="1">
      <alignment horizontal="center"/>
    </xf>
    <xf numFmtId="0" fontId="29" fillId="0" borderId="3" xfId="0" applyFont="1" applyFill="1" applyBorder="1"/>
    <xf numFmtId="164" fontId="27" fillId="0" borderId="3" xfId="0" applyNumberFormat="1" applyFont="1" applyFill="1" applyBorder="1"/>
    <xf numFmtId="43" fontId="27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0" fontId="18" fillId="0" borderId="0" xfId="8" applyFont="1"/>
    <xf numFmtId="0" fontId="18" fillId="0" borderId="0" xfId="8" applyFont="1" applyFill="1"/>
    <xf numFmtId="0" fontId="18" fillId="0" borderId="0" xfId="0" applyFont="1" applyFill="1" applyBorder="1"/>
    <xf numFmtId="0" fontId="18" fillId="0" borderId="0" xfId="0" applyFont="1" applyFill="1"/>
    <xf numFmtId="2" fontId="35" fillId="0" borderId="0" xfId="0" applyNumberFormat="1" applyFont="1" applyFill="1" applyBorder="1" applyAlignment="1">
      <alignment horizontal="right" indent="2"/>
    </xf>
    <xf numFmtId="4" fontId="36" fillId="0" borderId="0" xfId="0" applyNumberFormat="1" applyFont="1"/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right"/>
    </xf>
    <xf numFmtId="172" fontId="22" fillId="0" borderId="0" xfId="12" applyNumberFormat="1" applyFont="1" applyFill="1"/>
    <xf numFmtId="2" fontId="18" fillId="0" borderId="0" xfId="0" applyNumberFormat="1" applyFont="1" applyFill="1" applyAlignment="1">
      <alignment horizontal="right"/>
    </xf>
    <xf numFmtId="4" fontId="0" fillId="0" borderId="0" xfId="0" applyNumberFormat="1"/>
    <xf numFmtId="169" fontId="27" fillId="0" borderId="0" xfId="1" applyNumberFormat="1" applyFont="1" applyBorder="1" applyAlignment="1">
      <alignment horizontal="right" indent="1"/>
    </xf>
    <xf numFmtId="0" fontId="18" fillId="0" borderId="0" xfId="20"/>
    <xf numFmtId="37" fontId="0" fillId="0" borderId="0" xfId="0" applyNumberFormat="1" applyFill="1"/>
    <xf numFmtId="2" fontId="35" fillId="0" borderId="1" xfId="0" applyNumberFormat="1" applyFont="1" applyBorder="1" applyAlignment="1">
      <alignment horizontal="right" indent="2"/>
    </xf>
    <xf numFmtId="3" fontId="18" fillId="0" borderId="0" xfId="20" applyNumberFormat="1"/>
    <xf numFmtId="165" fontId="18" fillId="0" borderId="0" xfId="20" applyNumberFormat="1"/>
    <xf numFmtId="3" fontId="39" fillId="0" borderId="0" xfId="1" applyNumberFormat="1" applyFont="1" applyFill="1"/>
    <xf numFmtId="0" fontId="27" fillId="0" borderId="2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33" fillId="0" borderId="0" xfId="0" quotePrefix="1" applyFont="1" applyFill="1" applyBorder="1"/>
    <xf numFmtId="2" fontId="35" fillId="0" borderId="0" xfId="0" applyNumberFormat="1" applyFont="1" applyBorder="1" applyAlignment="1">
      <alignment horizontal="right" indent="2"/>
    </xf>
    <xf numFmtId="0" fontId="38" fillId="0" borderId="1" xfId="39" applyFont="1" applyBorder="1" applyAlignment="1">
      <alignment horizontal="center" wrapText="1"/>
    </xf>
    <xf numFmtId="0" fontId="25" fillId="0" borderId="1" xfId="20" quotePrefix="1" applyFont="1" applyBorder="1" applyAlignment="1">
      <alignment horizontal="center"/>
    </xf>
    <xf numFmtId="0" fontId="37" fillId="0" borderId="0" xfId="39" applyFont="1"/>
    <xf numFmtId="41" fontId="37" fillId="0" borderId="0" xfId="33" applyNumberFormat="1" applyFont="1" applyFill="1"/>
    <xf numFmtId="0" fontId="37" fillId="0" borderId="0" xfId="39" applyFont="1" applyAlignment="1">
      <alignment horizontal="center"/>
    </xf>
    <xf numFmtId="165" fontId="39" fillId="0" borderId="0" xfId="14" applyNumberFormat="1" applyFont="1" applyFill="1"/>
    <xf numFmtId="41" fontId="37" fillId="0" borderId="0" xfId="33" applyNumberFormat="1" applyFont="1" applyFill="1" applyAlignment="1">
      <alignment horizontal="center"/>
    </xf>
    <xf numFmtId="3" fontId="39" fillId="0" borderId="0" xfId="1" applyNumberFormat="1" applyFont="1" applyFill="1" applyBorder="1"/>
    <xf numFmtId="0" fontId="25" fillId="0" borderId="0" xfId="20" applyFont="1"/>
    <xf numFmtId="0" fontId="25" fillId="0" borderId="0" xfId="20" applyFont="1" applyAlignment="1">
      <alignment wrapText="1"/>
    </xf>
    <xf numFmtId="39" fontId="37" fillId="0" borderId="0" xfId="39" applyNumberFormat="1" applyFont="1"/>
    <xf numFmtId="172" fontId="37" fillId="0" borderId="0" xfId="12" applyNumberFormat="1" applyFont="1"/>
    <xf numFmtId="43" fontId="37" fillId="0" borderId="0" xfId="39" applyNumberFormat="1" applyFont="1"/>
    <xf numFmtId="9" fontId="37" fillId="0" borderId="0" xfId="12" applyFont="1" applyFill="1" applyAlignment="1">
      <alignment horizontal="center"/>
    </xf>
    <xf numFmtId="174" fontId="36" fillId="0" borderId="0" xfId="0" applyNumberFormat="1" applyFont="1"/>
    <xf numFmtId="9" fontId="37" fillId="0" borderId="0" xfId="12" applyFont="1" applyAlignment="1">
      <alignment horizontal="center" vertical="center"/>
    </xf>
    <xf numFmtId="17" fontId="0" fillId="0" borderId="0" xfId="0" applyNumberFormat="1" applyAlignment="1">
      <alignment horizontal="left"/>
    </xf>
    <xf numFmtId="1" fontId="37" fillId="0" borderId="0" xfId="12" applyNumberFormat="1" applyFont="1" applyAlignment="1">
      <alignment horizontal="center" vertical="center"/>
    </xf>
    <xf numFmtId="41" fontId="37" fillId="0" borderId="0" xfId="33" applyNumberFormat="1" applyFont="1" applyAlignment="1">
      <alignment horizontal="center" vertic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 horizontal="left"/>
    </xf>
    <xf numFmtId="175" fontId="27" fillId="0" borderId="0" xfId="1" applyNumberFormat="1" applyFont="1" applyFill="1" applyBorder="1" applyAlignment="1">
      <alignment horizontal="right" indent="2"/>
    </xf>
    <xf numFmtId="17" fontId="18" fillId="0" borderId="0" xfId="0" applyNumberFormat="1" applyFont="1" applyAlignment="1">
      <alignment horizontal="left"/>
    </xf>
    <xf numFmtId="0" fontId="18" fillId="0" borderId="0" xfId="0" applyFont="1"/>
    <xf numFmtId="165" fontId="39" fillId="0" borderId="0" xfId="14" applyNumberFormat="1" applyFont="1"/>
    <xf numFmtId="41" fontId="37" fillId="0" borderId="0" xfId="33" applyNumberFormat="1" applyFont="1"/>
    <xf numFmtId="176" fontId="37" fillId="0" borderId="0" xfId="33" applyNumberFormat="1" applyFont="1" applyAlignment="1">
      <alignment horizontal="center"/>
    </xf>
    <xf numFmtId="0" fontId="38" fillId="0" borderId="0" xfId="42" applyFont="1" applyAlignment="1">
      <alignment horizontal="center" wrapText="1"/>
    </xf>
    <xf numFmtId="173" fontId="18" fillId="0" borderId="0" xfId="20" quotePrefix="1" applyNumberFormat="1" applyAlignment="1">
      <alignment horizontal="left"/>
    </xf>
    <xf numFmtId="3" fontId="18" fillId="0" borderId="0" xfId="20" quotePrefix="1" applyNumberFormat="1" applyAlignment="1">
      <alignment horizontal="left"/>
    </xf>
    <xf numFmtId="0" fontId="37" fillId="0" borderId="0" xfId="42" quotePrefix="1" applyFont="1" applyAlignment="1">
      <alignment horizontal="left"/>
    </xf>
    <xf numFmtId="3" fontId="37" fillId="0" borderId="0" xfId="42" quotePrefix="1" applyNumberFormat="1" applyFont="1" applyAlignment="1">
      <alignment horizontal="left"/>
    </xf>
    <xf numFmtId="0" fontId="18" fillId="0" borderId="0" xfId="20" quotePrefix="1" applyAlignment="1">
      <alignment horizontal="left"/>
    </xf>
    <xf numFmtId="0" fontId="18" fillId="0" borderId="0" xfId="20" quotePrefix="1"/>
    <xf numFmtId="16" fontId="18" fillId="0" borderId="0" xfId="20" quotePrefix="1" applyNumberFormat="1"/>
    <xf numFmtId="0" fontId="18" fillId="0" borderId="7" xfId="20" applyBorder="1"/>
    <xf numFmtId="0" fontId="25" fillId="0" borderId="5" xfId="20" applyFont="1" applyBorder="1" applyAlignment="1">
      <alignment horizontal="centerContinuous"/>
    </xf>
    <xf numFmtId="0" fontId="25" fillId="0" borderId="2" xfId="20" applyFont="1" applyBorder="1" applyAlignment="1">
      <alignment horizontal="centerContinuous"/>
    </xf>
    <xf numFmtId="0" fontId="25" fillId="0" borderId="6" xfId="20" applyFont="1" applyBorder="1" applyAlignment="1">
      <alignment horizontal="centerContinuous"/>
    </xf>
    <xf numFmtId="0" fontId="38" fillId="0" borderId="8" xfId="43" applyFont="1" applyBorder="1" applyAlignment="1">
      <alignment horizontal="center"/>
    </xf>
    <xf numFmtId="0" fontId="38" fillId="0" borderId="5" xfId="43" applyFont="1" applyBorder="1" applyAlignment="1">
      <alignment horizontal="left"/>
    </xf>
    <xf numFmtId="0" fontId="38" fillId="0" borderId="1" xfId="43" applyFont="1" applyBorder="1" applyAlignment="1">
      <alignment horizontal="left" wrapText="1"/>
    </xf>
    <xf numFmtId="0" fontId="25" fillId="0" borderId="5" xfId="20" applyFont="1" applyBorder="1" applyAlignment="1">
      <alignment horizontal="left" wrapText="1"/>
    </xf>
    <xf numFmtId="0" fontId="25" fillId="0" borderId="2" xfId="20" applyFont="1" applyBorder="1" applyAlignment="1">
      <alignment horizontal="left" wrapText="1"/>
    </xf>
    <xf numFmtId="0" fontId="25" fillId="0" borderId="1" xfId="20" applyFont="1" applyBorder="1" applyAlignment="1">
      <alignment horizontal="left" wrapText="1"/>
    </xf>
    <xf numFmtId="0" fontId="25" fillId="0" borderId="9" xfId="20" applyFont="1" applyBorder="1" applyAlignment="1">
      <alignment horizontal="left" wrapText="1"/>
    </xf>
    <xf numFmtId="17" fontId="18" fillId="0" borderId="10" xfId="20" quotePrefix="1" applyNumberFormat="1" applyBorder="1" applyAlignment="1">
      <alignment horizontal="left"/>
    </xf>
    <xf numFmtId="3" fontId="18" fillId="0" borderId="11" xfId="20" applyNumberFormat="1" applyBorder="1"/>
    <xf numFmtId="3" fontId="18" fillId="0" borderId="12" xfId="20" applyNumberFormat="1" applyBorder="1"/>
    <xf numFmtId="17" fontId="18" fillId="0" borderId="10" xfId="20" quotePrefix="1" applyNumberFormat="1" applyBorder="1" applyAlignment="1">
      <alignment horizontal="left" vertical="center"/>
    </xf>
    <xf numFmtId="3" fontId="37" fillId="0" borderId="11" xfId="12" applyNumberFormat="1" applyFont="1" applyBorder="1"/>
    <xf numFmtId="3" fontId="18" fillId="0" borderId="0" xfId="12" applyNumberFormat="1" applyFont="1" applyBorder="1"/>
    <xf numFmtId="3" fontId="37" fillId="0" borderId="0" xfId="12" applyNumberFormat="1" applyFont="1" applyBorder="1"/>
    <xf numFmtId="3" fontId="18" fillId="0" borderId="12" xfId="12" applyNumberFormat="1" applyFont="1" applyBorder="1"/>
    <xf numFmtId="3" fontId="37" fillId="0" borderId="0" xfId="12" applyNumberFormat="1" applyFont="1" applyBorder="1" applyAlignment="1">
      <alignment horizontal="right"/>
    </xf>
    <xf numFmtId="17" fontId="18" fillId="0" borderId="8" xfId="20" applyNumberFormat="1" applyBorder="1" applyAlignment="1">
      <alignment horizontal="left"/>
    </xf>
    <xf numFmtId="3" fontId="18" fillId="0" borderId="13" xfId="20" applyNumberFormat="1" applyBorder="1"/>
    <xf numFmtId="3" fontId="18" fillId="0" borderId="1" xfId="20" applyNumberFormat="1" applyBorder="1"/>
    <xf numFmtId="3" fontId="18" fillId="0" borderId="9" xfId="20" applyNumberFormat="1" applyBorder="1"/>
    <xf numFmtId="0" fontId="18" fillId="0" borderId="0" xfId="20" applyAlignment="1">
      <alignment vertical="center"/>
    </xf>
    <xf numFmtId="175" fontId="37" fillId="0" borderId="0" xfId="39" applyNumberFormat="1" applyFont="1"/>
    <xf numFmtId="0" fontId="38" fillId="0" borderId="0" xfId="37" applyFont="1" applyBorder="1" applyAlignment="1">
      <alignment horizontal="left" wrapText="1"/>
    </xf>
    <xf numFmtId="41" fontId="37" fillId="0" borderId="0" xfId="33" applyNumberFormat="1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5" xfId="0" quotePrefix="1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5" fillId="0" borderId="14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178" fontId="0" fillId="0" borderId="0" xfId="0" applyNumberFormat="1"/>
    <xf numFmtId="9" fontId="37" fillId="0" borderId="18" xfId="12" applyFont="1" applyBorder="1" applyAlignment="1">
      <alignment horizontal="center" vertical="center"/>
    </xf>
    <xf numFmtId="9" fontId="37" fillId="0" borderId="19" xfId="12" applyFont="1" applyBorder="1" applyAlignment="1">
      <alignment horizontal="center" vertical="center"/>
    </xf>
    <xf numFmtId="172" fontId="37" fillId="0" borderId="20" xfId="12" applyNumberFormat="1" applyFont="1" applyBorder="1" applyAlignment="1">
      <alignment horizontal="center" vertical="center"/>
    </xf>
    <xf numFmtId="9" fontId="37" fillId="0" borderId="21" xfId="12" applyFont="1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38" fillId="0" borderId="23" xfId="37" applyFont="1" applyBorder="1" applyAlignment="1">
      <alignment horizontal="left" vertical="center" wrapText="1"/>
    </xf>
    <xf numFmtId="0" fontId="38" fillId="0" borderId="24" xfId="37" applyFont="1" applyBorder="1" applyAlignment="1">
      <alignment horizontal="left" vertical="center" wrapText="1"/>
    </xf>
    <xf numFmtId="0" fontId="38" fillId="0" borderId="25" xfId="37" applyFont="1" applyBorder="1" applyAlignment="1">
      <alignment horizontal="left" vertical="center" wrapText="1"/>
    </xf>
    <xf numFmtId="0" fontId="37" fillId="0" borderId="13" xfId="37" applyFont="1" applyBorder="1" applyAlignment="1">
      <alignment horizontal="left" wrapText="1"/>
    </xf>
    <xf numFmtId="0" fontId="37" fillId="0" borderId="1" xfId="37" applyFont="1" applyBorder="1" applyAlignment="1">
      <alignment horizontal="left" wrapText="1"/>
    </xf>
    <xf numFmtId="0" fontId="37" fillId="0" borderId="13" xfId="37" applyFont="1" applyFill="1" applyBorder="1" applyAlignment="1">
      <alignment horizontal="left" wrapText="1"/>
    </xf>
    <xf numFmtId="0" fontId="37" fillId="0" borderId="1" xfId="37" applyFont="1" applyFill="1" applyBorder="1" applyAlignment="1">
      <alignment horizontal="left" wrapText="1"/>
    </xf>
    <xf numFmtId="0" fontId="37" fillId="0" borderId="9" xfId="37" applyFont="1" applyFill="1" applyBorder="1" applyAlignment="1">
      <alignment horizontal="left" wrapText="1"/>
    </xf>
    <xf numFmtId="0" fontId="37" fillId="0" borderId="17" xfId="37" applyFont="1" applyBorder="1" applyAlignment="1">
      <alignment horizontal="left" wrapText="1"/>
    </xf>
    <xf numFmtId="0" fontId="18" fillId="0" borderId="0" xfId="20" quotePrefix="1" applyFont="1" applyAlignment="1">
      <alignment horizontal="center"/>
    </xf>
    <xf numFmtId="175" fontId="18" fillId="0" borderId="0" xfId="14" applyNumberFormat="1" applyFont="1" applyAlignment="1">
      <alignment horizontal="center"/>
    </xf>
    <xf numFmtId="175" fontId="37" fillId="0" borderId="0" xfId="33" applyNumberFormat="1" applyFont="1" applyAlignment="1">
      <alignment horizontal="center"/>
    </xf>
    <xf numFmtId="165" fontId="18" fillId="0" borderId="0" xfId="14" applyNumberFormat="1" applyFont="1" applyAlignment="1">
      <alignment horizontal="center"/>
    </xf>
    <xf numFmtId="39" fontId="18" fillId="0" borderId="0" xfId="14" applyNumberFormat="1" applyFont="1" applyAlignment="1">
      <alignment horizontal="center"/>
    </xf>
  </cellXfs>
  <cellStyles count="44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2 2" xfId="40" xr:uid="{AF392839-9EFD-46E7-9522-B670F46A3E86}"/>
    <cellStyle name="Normal 11 3" xfId="32" xr:uid="{5440E113-77DF-4DAD-9026-4858CCB03DB9}"/>
    <cellStyle name="Normal 11 3 2" xfId="43" xr:uid="{8321DB1C-E877-443D-8A22-A2E591665B83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7" xfId="37" xr:uid="{6CE0624E-52F1-420A-B337-3C1B5BC972EB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FFCF01"/>
      <color rgb="FF0000FF"/>
      <color rgb="FFC0504D"/>
      <color rgb="FFFA6400"/>
      <color rgb="FFC0502F"/>
      <color rgb="FFD99694"/>
      <color rgb="FFFB0BCD"/>
      <color rgb="FFFFFF00"/>
      <color rgb="FFBE4D4A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oil export commitments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7.9096843663772794E-3"/>
          <c:y val="6.289253783366944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67880577427827E-2"/>
          <c:y val="0.17439205641463493"/>
          <c:w val="0.90135203412073495"/>
          <c:h val="0.55916718843879454"/>
        </c:manualLayout>
      </c:layout>
      <c:lineChart>
        <c:grouping val="standard"/>
        <c:varyColors val="0"/>
        <c:ser>
          <c:idx val="5"/>
          <c:order val="0"/>
          <c:tx>
            <c:strRef>
              <c:f>'Figure 1'!$B$1</c:f>
              <c:strCache>
                <c:ptCount val="1"/>
                <c:pt idx="0">
                  <c:v>2017/18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1'!$A$2:$A$53</c:f>
              <c:strCache>
                <c:ptCount val="52"/>
                <c:pt idx="0">
                  <c:v>Oct. 6</c:v>
                </c:pt>
                <c:pt idx="1">
                  <c:v>Oct. 13</c:v>
                </c:pt>
                <c:pt idx="2">
                  <c:v>Oct. 20</c:v>
                </c:pt>
                <c:pt idx="3">
                  <c:v>Oct. 27</c:v>
                </c:pt>
                <c:pt idx="4">
                  <c:v>Nov. 3</c:v>
                </c:pt>
                <c:pt idx="5">
                  <c:v>Nov. 10</c:v>
                </c:pt>
                <c:pt idx="6">
                  <c:v>Nov. 17</c:v>
                </c:pt>
                <c:pt idx="7">
                  <c:v>Nov. 24</c:v>
                </c:pt>
                <c:pt idx="8">
                  <c:v>Dec. 1</c:v>
                </c:pt>
                <c:pt idx="9">
                  <c:v>Dec. 8</c:v>
                </c:pt>
                <c:pt idx="10">
                  <c:v>Dec. 15</c:v>
                </c:pt>
                <c:pt idx="11">
                  <c:v>Dec. 22</c:v>
                </c:pt>
                <c:pt idx="12">
                  <c:v>Dec. 29</c:v>
                </c:pt>
                <c:pt idx="13">
                  <c:v>Jan. 5</c:v>
                </c:pt>
                <c:pt idx="14">
                  <c:v>Jan. 12</c:v>
                </c:pt>
                <c:pt idx="15">
                  <c:v>Jan. 19</c:v>
                </c:pt>
                <c:pt idx="16">
                  <c:v>Jan. 26</c:v>
                </c:pt>
                <c:pt idx="17">
                  <c:v>Feb. 2</c:v>
                </c:pt>
                <c:pt idx="18">
                  <c:v>Feb. 9</c:v>
                </c:pt>
                <c:pt idx="19">
                  <c:v>Feb. 16</c:v>
                </c:pt>
                <c:pt idx="20">
                  <c:v>Feb. 23</c:v>
                </c:pt>
                <c:pt idx="21">
                  <c:v>Mar. 2</c:v>
                </c:pt>
                <c:pt idx="22">
                  <c:v>Mar. 9</c:v>
                </c:pt>
                <c:pt idx="23">
                  <c:v>Mar. 16</c:v>
                </c:pt>
                <c:pt idx="24">
                  <c:v>Mar. 23</c:v>
                </c:pt>
                <c:pt idx="25">
                  <c:v>Mar. 30</c:v>
                </c:pt>
                <c:pt idx="26">
                  <c:v>Apr. 6</c:v>
                </c:pt>
                <c:pt idx="27">
                  <c:v>Apr. 13</c:v>
                </c:pt>
                <c:pt idx="28">
                  <c:v>Apr. 20</c:v>
                </c:pt>
                <c:pt idx="29">
                  <c:v>Apr. 27</c:v>
                </c:pt>
                <c:pt idx="30">
                  <c:v>May 4</c:v>
                </c:pt>
                <c:pt idx="31">
                  <c:v>May 11</c:v>
                </c:pt>
                <c:pt idx="32">
                  <c:v>May 18</c:v>
                </c:pt>
                <c:pt idx="33">
                  <c:v>May 25</c:v>
                </c:pt>
                <c:pt idx="34">
                  <c:v>Jun. 1</c:v>
                </c:pt>
                <c:pt idx="35">
                  <c:v>Jun. 8</c:v>
                </c:pt>
                <c:pt idx="36">
                  <c:v>Jun. 15</c:v>
                </c:pt>
                <c:pt idx="37">
                  <c:v>Jun. 22</c:v>
                </c:pt>
                <c:pt idx="38">
                  <c:v>Jun. 29</c:v>
                </c:pt>
                <c:pt idx="39">
                  <c:v>Jul. 6</c:v>
                </c:pt>
                <c:pt idx="40">
                  <c:v>Jul. 13</c:v>
                </c:pt>
                <c:pt idx="41">
                  <c:v>Jul. 20</c:v>
                </c:pt>
                <c:pt idx="42">
                  <c:v>Jul. 27</c:v>
                </c:pt>
                <c:pt idx="43">
                  <c:v>Aug. 3</c:v>
                </c:pt>
                <c:pt idx="44">
                  <c:v>Aug. 10</c:v>
                </c:pt>
                <c:pt idx="45">
                  <c:v>Aug. 17</c:v>
                </c:pt>
                <c:pt idx="46">
                  <c:v>Aug. 24</c:v>
                </c:pt>
                <c:pt idx="47">
                  <c:v>Aug. 31</c:v>
                </c:pt>
                <c:pt idx="48">
                  <c:v>Sep. 7</c:v>
                </c:pt>
                <c:pt idx="49">
                  <c:v>Sep. 14</c:v>
                </c:pt>
                <c:pt idx="50">
                  <c:v>Sep. 21</c:v>
                </c:pt>
                <c:pt idx="51">
                  <c:v>Sep. 28</c:v>
                </c:pt>
              </c:strCache>
            </c:strRef>
          </c:cat>
          <c:val>
            <c:numRef>
              <c:f>'Figure 1'!$B$2:$B$53</c:f>
              <c:numCache>
                <c:formatCode>#,##0</c:formatCode>
                <c:ptCount val="52"/>
                <c:pt idx="0">
                  <c:v>85.566999999999993</c:v>
                </c:pt>
                <c:pt idx="1">
                  <c:v>113.011</c:v>
                </c:pt>
                <c:pt idx="2">
                  <c:v>140.87200000000001</c:v>
                </c:pt>
                <c:pt idx="3">
                  <c:v>167.91200000000001</c:v>
                </c:pt>
                <c:pt idx="4">
                  <c:v>183.828</c:v>
                </c:pt>
                <c:pt idx="5">
                  <c:v>186.49199999999999</c:v>
                </c:pt>
                <c:pt idx="6">
                  <c:v>190.66900000000001</c:v>
                </c:pt>
                <c:pt idx="7">
                  <c:v>202.25399999999999</c:v>
                </c:pt>
                <c:pt idx="8">
                  <c:v>223.28299999999999</c:v>
                </c:pt>
                <c:pt idx="9">
                  <c:v>237.80500000000001</c:v>
                </c:pt>
                <c:pt idx="10">
                  <c:v>262.04899999999998</c:v>
                </c:pt>
                <c:pt idx="11">
                  <c:v>306.24799999999999</c:v>
                </c:pt>
                <c:pt idx="12">
                  <c:v>324.10399999999998</c:v>
                </c:pt>
                <c:pt idx="13">
                  <c:v>322.49200000000002</c:v>
                </c:pt>
                <c:pt idx="14">
                  <c:v>350.41399999999999</c:v>
                </c:pt>
                <c:pt idx="15">
                  <c:v>362.166</c:v>
                </c:pt>
                <c:pt idx="16">
                  <c:v>420.94600000000003</c:v>
                </c:pt>
                <c:pt idx="17">
                  <c:v>428.73899999999998</c:v>
                </c:pt>
                <c:pt idx="18">
                  <c:v>453.14400000000001</c:v>
                </c:pt>
                <c:pt idx="19">
                  <c:v>496.05799999999999</c:v>
                </c:pt>
                <c:pt idx="20">
                  <c:v>512.678</c:v>
                </c:pt>
                <c:pt idx="21">
                  <c:v>546.72</c:v>
                </c:pt>
                <c:pt idx="22">
                  <c:v>578.31500000000005</c:v>
                </c:pt>
                <c:pt idx="23">
                  <c:v>614.81899999999996</c:v>
                </c:pt>
                <c:pt idx="24">
                  <c:v>649.40800000000002</c:v>
                </c:pt>
                <c:pt idx="25">
                  <c:v>692.93399999999997</c:v>
                </c:pt>
                <c:pt idx="26">
                  <c:v>714.97699999999998</c:v>
                </c:pt>
                <c:pt idx="27">
                  <c:v>743.02200000000005</c:v>
                </c:pt>
                <c:pt idx="28">
                  <c:v>754.25900000000001</c:v>
                </c:pt>
                <c:pt idx="29">
                  <c:v>798.75800000000004</c:v>
                </c:pt>
                <c:pt idx="30">
                  <c:v>844.15</c:v>
                </c:pt>
                <c:pt idx="31">
                  <c:v>854.33500000000004</c:v>
                </c:pt>
                <c:pt idx="32">
                  <c:v>872.03300000000002</c:v>
                </c:pt>
                <c:pt idx="33">
                  <c:v>875.04100000000005</c:v>
                </c:pt>
                <c:pt idx="34">
                  <c:v>885.04100000000005</c:v>
                </c:pt>
                <c:pt idx="35">
                  <c:v>884.82</c:v>
                </c:pt>
                <c:pt idx="36">
                  <c:v>900.80799999999999</c:v>
                </c:pt>
                <c:pt idx="37">
                  <c:v>931.33699999999999</c:v>
                </c:pt>
                <c:pt idx="38">
                  <c:v>967.93100000000004</c:v>
                </c:pt>
                <c:pt idx="39">
                  <c:v>995.43</c:v>
                </c:pt>
                <c:pt idx="40">
                  <c:v>1006.356</c:v>
                </c:pt>
                <c:pt idx="41">
                  <c:v>1001.914</c:v>
                </c:pt>
                <c:pt idx="42">
                  <c:v>1016.0839999999999</c:v>
                </c:pt>
                <c:pt idx="43">
                  <c:v>1026.9870000000001</c:v>
                </c:pt>
                <c:pt idx="44">
                  <c:v>1031.828</c:v>
                </c:pt>
                <c:pt idx="45">
                  <c:v>1037.0039999999999</c:v>
                </c:pt>
                <c:pt idx="46">
                  <c:v>1061.027</c:v>
                </c:pt>
                <c:pt idx="47">
                  <c:v>1057.2940000000001</c:v>
                </c:pt>
                <c:pt idx="48">
                  <c:v>1062.02</c:v>
                </c:pt>
                <c:pt idx="49">
                  <c:v>1071.588</c:v>
                </c:pt>
                <c:pt idx="50">
                  <c:v>1074.2449999999999</c:v>
                </c:pt>
                <c:pt idx="51">
                  <c:v>1081.8320000000001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57-450A-9AF7-8B513D0EC1F3}"/>
            </c:ext>
          </c:extLst>
        </c:ser>
        <c:ser>
          <c:idx val="4"/>
          <c:order val="1"/>
          <c:tx>
            <c:strRef>
              <c:f>'Figure 1'!$C$1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1'!$A$2:$A$53</c:f>
              <c:strCache>
                <c:ptCount val="52"/>
                <c:pt idx="0">
                  <c:v>Oct. 6</c:v>
                </c:pt>
                <c:pt idx="1">
                  <c:v>Oct. 13</c:v>
                </c:pt>
                <c:pt idx="2">
                  <c:v>Oct. 20</c:v>
                </c:pt>
                <c:pt idx="3">
                  <c:v>Oct. 27</c:v>
                </c:pt>
                <c:pt idx="4">
                  <c:v>Nov. 3</c:v>
                </c:pt>
                <c:pt idx="5">
                  <c:v>Nov. 10</c:v>
                </c:pt>
                <c:pt idx="6">
                  <c:v>Nov. 17</c:v>
                </c:pt>
                <c:pt idx="7">
                  <c:v>Nov. 24</c:v>
                </c:pt>
                <c:pt idx="8">
                  <c:v>Dec. 1</c:v>
                </c:pt>
                <c:pt idx="9">
                  <c:v>Dec. 8</c:v>
                </c:pt>
                <c:pt idx="10">
                  <c:v>Dec. 15</c:v>
                </c:pt>
                <c:pt idx="11">
                  <c:v>Dec. 22</c:v>
                </c:pt>
                <c:pt idx="12">
                  <c:v>Dec. 29</c:v>
                </c:pt>
                <c:pt idx="13">
                  <c:v>Jan. 5</c:v>
                </c:pt>
                <c:pt idx="14">
                  <c:v>Jan. 12</c:v>
                </c:pt>
                <c:pt idx="15">
                  <c:v>Jan. 19</c:v>
                </c:pt>
                <c:pt idx="16">
                  <c:v>Jan. 26</c:v>
                </c:pt>
                <c:pt idx="17">
                  <c:v>Feb. 2</c:v>
                </c:pt>
                <c:pt idx="18">
                  <c:v>Feb. 9</c:v>
                </c:pt>
                <c:pt idx="19">
                  <c:v>Feb. 16</c:v>
                </c:pt>
                <c:pt idx="20">
                  <c:v>Feb. 23</c:v>
                </c:pt>
                <c:pt idx="21">
                  <c:v>Mar. 2</c:v>
                </c:pt>
                <c:pt idx="22">
                  <c:v>Mar. 9</c:v>
                </c:pt>
                <c:pt idx="23">
                  <c:v>Mar. 16</c:v>
                </c:pt>
                <c:pt idx="24">
                  <c:v>Mar. 23</c:v>
                </c:pt>
                <c:pt idx="25">
                  <c:v>Mar. 30</c:v>
                </c:pt>
                <c:pt idx="26">
                  <c:v>Apr. 6</c:v>
                </c:pt>
                <c:pt idx="27">
                  <c:v>Apr. 13</c:v>
                </c:pt>
                <c:pt idx="28">
                  <c:v>Apr. 20</c:v>
                </c:pt>
                <c:pt idx="29">
                  <c:v>Apr. 27</c:v>
                </c:pt>
                <c:pt idx="30">
                  <c:v>May 4</c:v>
                </c:pt>
                <c:pt idx="31">
                  <c:v>May 11</c:v>
                </c:pt>
                <c:pt idx="32">
                  <c:v>May 18</c:v>
                </c:pt>
                <c:pt idx="33">
                  <c:v>May 25</c:v>
                </c:pt>
                <c:pt idx="34">
                  <c:v>Jun. 1</c:v>
                </c:pt>
                <c:pt idx="35">
                  <c:v>Jun. 8</c:v>
                </c:pt>
                <c:pt idx="36">
                  <c:v>Jun. 15</c:v>
                </c:pt>
                <c:pt idx="37">
                  <c:v>Jun. 22</c:v>
                </c:pt>
                <c:pt idx="38">
                  <c:v>Jun. 29</c:v>
                </c:pt>
                <c:pt idx="39">
                  <c:v>Jul. 6</c:v>
                </c:pt>
                <c:pt idx="40">
                  <c:v>Jul. 13</c:v>
                </c:pt>
                <c:pt idx="41">
                  <c:v>Jul. 20</c:v>
                </c:pt>
                <c:pt idx="42">
                  <c:v>Jul. 27</c:v>
                </c:pt>
                <c:pt idx="43">
                  <c:v>Aug. 3</c:v>
                </c:pt>
                <c:pt idx="44">
                  <c:v>Aug. 10</c:v>
                </c:pt>
                <c:pt idx="45">
                  <c:v>Aug. 17</c:v>
                </c:pt>
                <c:pt idx="46">
                  <c:v>Aug. 24</c:v>
                </c:pt>
                <c:pt idx="47">
                  <c:v>Aug. 31</c:v>
                </c:pt>
                <c:pt idx="48">
                  <c:v>Sep. 7</c:v>
                </c:pt>
                <c:pt idx="49">
                  <c:v>Sep. 14</c:v>
                </c:pt>
                <c:pt idx="50">
                  <c:v>Sep. 21</c:v>
                </c:pt>
                <c:pt idx="51">
                  <c:v>Sep. 28</c:v>
                </c:pt>
              </c:strCache>
            </c:strRef>
          </c:cat>
          <c:val>
            <c:numRef>
              <c:f>'Figure 1'!$C$2:$C$53</c:f>
              <c:numCache>
                <c:formatCode>#,##0</c:formatCode>
                <c:ptCount val="52"/>
                <c:pt idx="0">
                  <c:v>149.70699999999999</c:v>
                </c:pt>
                <c:pt idx="1">
                  <c:v>176.29</c:v>
                </c:pt>
                <c:pt idx="2">
                  <c:v>202.559</c:v>
                </c:pt>
                <c:pt idx="3">
                  <c:v>224.714</c:v>
                </c:pt>
                <c:pt idx="4">
                  <c:v>247.15</c:v>
                </c:pt>
                <c:pt idx="5">
                  <c:v>262.149</c:v>
                </c:pt>
                <c:pt idx="6">
                  <c:v>302.19400000000002</c:v>
                </c:pt>
                <c:pt idx="7">
                  <c:v>311.38200000000001</c:v>
                </c:pt>
                <c:pt idx="8">
                  <c:v>332.43</c:v>
                </c:pt>
                <c:pt idx="9">
                  <c:v>338.358</c:v>
                </c:pt>
                <c:pt idx="10">
                  <c:v>374.05900000000003</c:v>
                </c:pt>
                <c:pt idx="11">
                  <c:v>387.72</c:v>
                </c:pt>
                <c:pt idx="12">
                  <c:v>403.68299999999999</c:v>
                </c:pt>
                <c:pt idx="13">
                  <c:v>405.90300000000002</c:v>
                </c:pt>
                <c:pt idx="14">
                  <c:v>405.90300000000002</c:v>
                </c:pt>
                <c:pt idx="15">
                  <c:v>405.90300000000002</c:v>
                </c:pt>
                <c:pt idx="16">
                  <c:v>405.90300000000002</c:v>
                </c:pt>
                <c:pt idx="17">
                  <c:v>405.90300000000002</c:v>
                </c:pt>
                <c:pt idx="18">
                  <c:v>405.90300000000002</c:v>
                </c:pt>
                <c:pt idx="19">
                  <c:v>498.03899999999999</c:v>
                </c:pt>
                <c:pt idx="20">
                  <c:v>508.63900000000001</c:v>
                </c:pt>
                <c:pt idx="21">
                  <c:v>516.77499999999998</c:v>
                </c:pt>
                <c:pt idx="22">
                  <c:v>530.76099999999997</c:v>
                </c:pt>
                <c:pt idx="23">
                  <c:v>536.30899999999997</c:v>
                </c:pt>
                <c:pt idx="24">
                  <c:v>547.99800000000005</c:v>
                </c:pt>
                <c:pt idx="25">
                  <c:v>584.71799999999996</c:v>
                </c:pt>
                <c:pt idx="26">
                  <c:v>618.55200000000002</c:v>
                </c:pt>
                <c:pt idx="27">
                  <c:v>642.78</c:v>
                </c:pt>
                <c:pt idx="28">
                  <c:v>662.41</c:v>
                </c:pt>
                <c:pt idx="29">
                  <c:v>669.68799999999999</c:v>
                </c:pt>
                <c:pt idx="30">
                  <c:v>686.06500000000005</c:v>
                </c:pt>
                <c:pt idx="31">
                  <c:v>696.85799999999995</c:v>
                </c:pt>
                <c:pt idx="32">
                  <c:v>705.94600000000003</c:v>
                </c:pt>
                <c:pt idx="33">
                  <c:v>741.06600000000003</c:v>
                </c:pt>
                <c:pt idx="34">
                  <c:v>756.48599999999999</c:v>
                </c:pt>
                <c:pt idx="35">
                  <c:v>761.62199999999996</c:v>
                </c:pt>
                <c:pt idx="36">
                  <c:v>766.05700000000002</c:v>
                </c:pt>
                <c:pt idx="37">
                  <c:v>785.21199999999999</c:v>
                </c:pt>
                <c:pt idx="38">
                  <c:v>804.947</c:v>
                </c:pt>
                <c:pt idx="39">
                  <c:v>813.47400000000005</c:v>
                </c:pt>
                <c:pt idx="40">
                  <c:v>825.66700000000003</c:v>
                </c:pt>
                <c:pt idx="41">
                  <c:v>829.24099999999999</c:v>
                </c:pt>
                <c:pt idx="42">
                  <c:v>843.851</c:v>
                </c:pt>
                <c:pt idx="43">
                  <c:v>875.625</c:v>
                </c:pt>
                <c:pt idx="44">
                  <c:v>876.99199999999996</c:v>
                </c:pt>
                <c:pt idx="45">
                  <c:v>879.21199999999999</c:v>
                </c:pt>
                <c:pt idx="46">
                  <c:v>888.45899999999995</c:v>
                </c:pt>
                <c:pt idx="47">
                  <c:v>891.601</c:v>
                </c:pt>
                <c:pt idx="48">
                  <c:v>899.84400000000005</c:v>
                </c:pt>
                <c:pt idx="49">
                  <c:v>918.76</c:v>
                </c:pt>
                <c:pt idx="50">
                  <c:v>923.37800000000004</c:v>
                </c:pt>
                <c:pt idx="51">
                  <c:v>925.87300000000005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7-450A-9AF7-8B513D0EC1F3}"/>
            </c:ext>
          </c:extLst>
        </c:ser>
        <c:ser>
          <c:idx val="0"/>
          <c:order val="2"/>
          <c:tx>
            <c:strRef>
              <c:f>'Figure 1'!$D$1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1'!$A$2:$A$53</c:f>
              <c:strCache>
                <c:ptCount val="52"/>
                <c:pt idx="0">
                  <c:v>Oct. 6</c:v>
                </c:pt>
                <c:pt idx="1">
                  <c:v>Oct. 13</c:v>
                </c:pt>
                <c:pt idx="2">
                  <c:v>Oct. 20</c:v>
                </c:pt>
                <c:pt idx="3">
                  <c:v>Oct. 27</c:v>
                </c:pt>
                <c:pt idx="4">
                  <c:v>Nov. 3</c:v>
                </c:pt>
                <c:pt idx="5">
                  <c:v>Nov. 10</c:v>
                </c:pt>
                <c:pt idx="6">
                  <c:v>Nov. 17</c:v>
                </c:pt>
                <c:pt idx="7">
                  <c:v>Nov. 24</c:v>
                </c:pt>
                <c:pt idx="8">
                  <c:v>Dec. 1</c:v>
                </c:pt>
                <c:pt idx="9">
                  <c:v>Dec. 8</c:v>
                </c:pt>
                <c:pt idx="10">
                  <c:v>Dec. 15</c:v>
                </c:pt>
                <c:pt idx="11">
                  <c:v>Dec. 22</c:v>
                </c:pt>
                <c:pt idx="12">
                  <c:v>Dec. 29</c:v>
                </c:pt>
                <c:pt idx="13">
                  <c:v>Jan. 5</c:v>
                </c:pt>
                <c:pt idx="14">
                  <c:v>Jan. 12</c:v>
                </c:pt>
                <c:pt idx="15">
                  <c:v>Jan. 19</c:v>
                </c:pt>
                <c:pt idx="16">
                  <c:v>Jan. 26</c:v>
                </c:pt>
                <c:pt idx="17">
                  <c:v>Feb. 2</c:v>
                </c:pt>
                <c:pt idx="18">
                  <c:v>Feb. 9</c:v>
                </c:pt>
                <c:pt idx="19">
                  <c:v>Feb. 16</c:v>
                </c:pt>
                <c:pt idx="20">
                  <c:v>Feb. 23</c:v>
                </c:pt>
                <c:pt idx="21">
                  <c:v>Mar. 2</c:v>
                </c:pt>
                <c:pt idx="22">
                  <c:v>Mar. 9</c:v>
                </c:pt>
                <c:pt idx="23">
                  <c:v>Mar. 16</c:v>
                </c:pt>
                <c:pt idx="24">
                  <c:v>Mar. 23</c:v>
                </c:pt>
                <c:pt idx="25">
                  <c:v>Mar. 30</c:v>
                </c:pt>
                <c:pt idx="26">
                  <c:v>Apr. 6</c:v>
                </c:pt>
                <c:pt idx="27">
                  <c:v>Apr. 13</c:v>
                </c:pt>
                <c:pt idx="28">
                  <c:v>Apr. 20</c:v>
                </c:pt>
                <c:pt idx="29">
                  <c:v>Apr. 27</c:v>
                </c:pt>
                <c:pt idx="30">
                  <c:v>May 4</c:v>
                </c:pt>
                <c:pt idx="31">
                  <c:v>May 11</c:v>
                </c:pt>
                <c:pt idx="32">
                  <c:v>May 18</c:v>
                </c:pt>
                <c:pt idx="33">
                  <c:v>May 25</c:v>
                </c:pt>
                <c:pt idx="34">
                  <c:v>Jun. 1</c:v>
                </c:pt>
                <c:pt idx="35">
                  <c:v>Jun. 8</c:v>
                </c:pt>
                <c:pt idx="36">
                  <c:v>Jun. 15</c:v>
                </c:pt>
                <c:pt idx="37">
                  <c:v>Jun. 22</c:v>
                </c:pt>
                <c:pt idx="38">
                  <c:v>Jun. 29</c:v>
                </c:pt>
                <c:pt idx="39">
                  <c:v>Jul. 6</c:v>
                </c:pt>
                <c:pt idx="40">
                  <c:v>Jul. 13</c:v>
                </c:pt>
                <c:pt idx="41">
                  <c:v>Jul. 20</c:v>
                </c:pt>
                <c:pt idx="42">
                  <c:v>Jul. 27</c:v>
                </c:pt>
                <c:pt idx="43">
                  <c:v>Aug. 3</c:v>
                </c:pt>
                <c:pt idx="44">
                  <c:v>Aug. 10</c:v>
                </c:pt>
                <c:pt idx="45">
                  <c:v>Aug. 17</c:v>
                </c:pt>
                <c:pt idx="46">
                  <c:v>Aug. 24</c:v>
                </c:pt>
                <c:pt idx="47">
                  <c:v>Aug. 31</c:v>
                </c:pt>
                <c:pt idx="48">
                  <c:v>Sep. 7</c:v>
                </c:pt>
                <c:pt idx="49">
                  <c:v>Sep. 14</c:v>
                </c:pt>
                <c:pt idx="50">
                  <c:v>Sep. 21</c:v>
                </c:pt>
                <c:pt idx="51">
                  <c:v>Sep. 28</c:v>
                </c:pt>
              </c:strCache>
            </c:strRef>
          </c:cat>
          <c:val>
            <c:numRef>
              <c:f>'Figure 1'!$D$2:$D$53</c:f>
              <c:numCache>
                <c:formatCode>#,##0</c:formatCode>
                <c:ptCount val="52"/>
                <c:pt idx="0">
                  <c:v>195.92500000000001</c:v>
                </c:pt>
                <c:pt idx="1">
                  <c:v>199.87700000000001</c:v>
                </c:pt>
                <c:pt idx="2">
                  <c:v>203.17400000000001</c:v>
                </c:pt>
                <c:pt idx="3">
                  <c:v>233.12299999999999</c:v>
                </c:pt>
                <c:pt idx="4">
                  <c:v>236.935</c:v>
                </c:pt>
                <c:pt idx="5">
                  <c:v>267.495</c:v>
                </c:pt>
                <c:pt idx="6">
                  <c:v>306.63200000000001</c:v>
                </c:pt>
                <c:pt idx="7">
                  <c:v>321.49700000000001</c:v>
                </c:pt>
                <c:pt idx="8">
                  <c:v>332.27800000000002</c:v>
                </c:pt>
                <c:pt idx="9">
                  <c:v>362.24900000000002</c:v>
                </c:pt>
                <c:pt idx="10">
                  <c:v>390.25400000000002</c:v>
                </c:pt>
                <c:pt idx="11">
                  <c:v>427.62400000000002</c:v>
                </c:pt>
                <c:pt idx="12">
                  <c:v>425.69</c:v>
                </c:pt>
                <c:pt idx="13">
                  <c:v>428.267</c:v>
                </c:pt>
                <c:pt idx="14">
                  <c:v>464.42399999999998</c:v>
                </c:pt>
                <c:pt idx="15">
                  <c:v>520.01199999999994</c:v>
                </c:pt>
                <c:pt idx="16">
                  <c:v>549.37900000000002</c:v>
                </c:pt>
                <c:pt idx="17">
                  <c:v>602.30700000000002</c:v>
                </c:pt>
                <c:pt idx="18">
                  <c:v>641.45000000000005</c:v>
                </c:pt>
                <c:pt idx="19">
                  <c:v>683.404</c:v>
                </c:pt>
                <c:pt idx="20">
                  <c:v>689.00599999999997</c:v>
                </c:pt>
                <c:pt idx="21">
                  <c:v>732.524</c:v>
                </c:pt>
                <c:pt idx="22">
                  <c:v>757.22799999999995</c:v>
                </c:pt>
                <c:pt idx="23">
                  <c:v>776.10299999999995</c:v>
                </c:pt>
                <c:pt idx="24">
                  <c:v>832.029</c:v>
                </c:pt>
                <c:pt idx="25">
                  <c:v>898.99599999999998</c:v>
                </c:pt>
                <c:pt idx="26">
                  <c:v>924.04600000000005</c:v>
                </c:pt>
                <c:pt idx="27">
                  <c:v>945.22699999999998</c:v>
                </c:pt>
                <c:pt idx="28">
                  <c:v>966.61</c:v>
                </c:pt>
                <c:pt idx="29">
                  <c:v>996.36800000000005</c:v>
                </c:pt>
                <c:pt idx="30">
                  <c:v>1015.289</c:v>
                </c:pt>
                <c:pt idx="31">
                  <c:v>1022.026</c:v>
                </c:pt>
                <c:pt idx="32">
                  <c:v>1084.107</c:v>
                </c:pt>
                <c:pt idx="33">
                  <c:v>1140.7059999999999</c:v>
                </c:pt>
                <c:pt idx="34">
                  <c:v>1150.115</c:v>
                </c:pt>
                <c:pt idx="35">
                  <c:v>1159.6020000000001</c:v>
                </c:pt>
                <c:pt idx="36">
                  <c:v>1165.9880000000001</c:v>
                </c:pt>
                <c:pt idx="37">
                  <c:v>1186.5150000000001</c:v>
                </c:pt>
                <c:pt idx="38">
                  <c:v>1189.3489999999999</c:v>
                </c:pt>
                <c:pt idx="39">
                  <c:v>1218.2570000000001</c:v>
                </c:pt>
                <c:pt idx="40">
                  <c:v>1223.915</c:v>
                </c:pt>
                <c:pt idx="41">
                  <c:v>1244.1099999999999</c:v>
                </c:pt>
                <c:pt idx="42">
                  <c:v>1244.9459999999999</c:v>
                </c:pt>
                <c:pt idx="43">
                  <c:v>1269.347</c:v>
                </c:pt>
                <c:pt idx="44">
                  <c:v>1266.8440000000001</c:v>
                </c:pt>
                <c:pt idx="45">
                  <c:v>1266.693</c:v>
                </c:pt>
                <c:pt idx="46">
                  <c:v>1267.9559999999999</c:v>
                </c:pt>
                <c:pt idx="47">
                  <c:v>1272.8779999999999</c:v>
                </c:pt>
                <c:pt idx="48">
                  <c:v>1276.9280000000001</c:v>
                </c:pt>
                <c:pt idx="49">
                  <c:v>1277.018</c:v>
                </c:pt>
                <c:pt idx="50">
                  <c:v>1281.3920000000001</c:v>
                </c:pt>
                <c:pt idx="51">
                  <c:v>1287.6569999999999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7-450A-9AF7-8B513D0EC1F3}"/>
            </c:ext>
          </c:extLst>
        </c:ser>
        <c:ser>
          <c:idx val="1"/>
          <c:order val="3"/>
          <c:tx>
            <c:strRef>
              <c:f>'Figure 1'!$E$1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1'!$A$2:$A$53</c:f>
              <c:strCache>
                <c:ptCount val="52"/>
                <c:pt idx="0">
                  <c:v>Oct. 6</c:v>
                </c:pt>
                <c:pt idx="1">
                  <c:v>Oct. 13</c:v>
                </c:pt>
                <c:pt idx="2">
                  <c:v>Oct. 20</c:v>
                </c:pt>
                <c:pt idx="3">
                  <c:v>Oct. 27</c:v>
                </c:pt>
                <c:pt idx="4">
                  <c:v>Nov. 3</c:v>
                </c:pt>
                <c:pt idx="5">
                  <c:v>Nov. 10</c:v>
                </c:pt>
                <c:pt idx="6">
                  <c:v>Nov. 17</c:v>
                </c:pt>
                <c:pt idx="7">
                  <c:v>Nov. 24</c:v>
                </c:pt>
                <c:pt idx="8">
                  <c:v>Dec. 1</c:v>
                </c:pt>
                <c:pt idx="9">
                  <c:v>Dec. 8</c:v>
                </c:pt>
                <c:pt idx="10">
                  <c:v>Dec. 15</c:v>
                </c:pt>
                <c:pt idx="11">
                  <c:v>Dec. 22</c:v>
                </c:pt>
                <c:pt idx="12">
                  <c:v>Dec. 29</c:v>
                </c:pt>
                <c:pt idx="13">
                  <c:v>Jan. 5</c:v>
                </c:pt>
                <c:pt idx="14">
                  <c:v>Jan. 12</c:v>
                </c:pt>
                <c:pt idx="15">
                  <c:v>Jan. 19</c:v>
                </c:pt>
                <c:pt idx="16">
                  <c:v>Jan. 26</c:v>
                </c:pt>
                <c:pt idx="17">
                  <c:v>Feb. 2</c:v>
                </c:pt>
                <c:pt idx="18">
                  <c:v>Feb. 9</c:v>
                </c:pt>
                <c:pt idx="19">
                  <c:v>Feb. 16</c:v>
                </c:pt>
                <c:pt idx="20">
                  <c:v>Feb. 23</c:v>
                </c:pt>
                <c:pt idx="21">
                  <c:v>Mar. 2</c:v>
                </c:pt>
                <c:pt idx="22">
                  <c:v>Mar. 9</c:v>
                </c:pt>
                <c:pt idx="23">
                  <c:v>Mar. 16</c:v>
                </c:pt>
                <c:pt idx="24">
                  <c:v>Mar. 23</c:v>
                </c:pt>
                <c:pt idx="25">
                  <c:v>Mar. 30</c:v>
                </c:pt>
                <c:pt idx="26">
                  <c:v>Apr. 6</c:v>
                </c:pt>
                <c:pt idx="27">
                  <c:v>Apr. 13</c:v>
                </c:pt>
                <c:pt idx="28">
                  <c:v>Apr. 20</c:v>
                </c:pt>
                <c:pt idx="29">
                  <c:v>Apr. 27</c:v>
                </c:pt>
                <c:pt idx="30">
                  <c:v>May 4</c:v>
                </c:pt>
                <c:pt idx="31">
                  <c:v>May 11</c:v>
                </c:pt>
                <c:pt idx="32">
                  <c:v>May 18</c:v>
                </c:pt>
                <c:pt idx="33">
                  <c:v>May 25</c:v>
                </c:pt>
                <c:pt idx="34">
                  <c:v>Jun. 1</c:v>
                </c:pt>
                <c:pt idx="35">
                  <c:v>Jun. 8</c:v>
                </c:pt>
                <c:pt idx="36">
                  <c:v>Jun. 15</c:v>
                </c:pt>
                <c:pt idx="37">
                  <c:v>Jun. 22</c:v>
                </c:pt>
                <c:pt idx="38">
                  <c:v>Jun. 29</c:v>
                </c:pt>
                <c:pt idx="39">
                  <c:v>Jul. 6</c:v>
                </c:pt>
                <c:pt idx="40">
                  <c:v>Jul. 13</c:v>
                </c:pt>
                <c:pt idx="41">
                  <c:v>Jul. 20</c:v>
                </c:pt>
                <c:pt idx="42">
                  <c:v>Jul. 27</c:v>
                </c:pt>
                <c:pt idx="43">
                  <c:v>Aug. 3</c:v>
                </c:pt>
                <c:pt idx="44">
                  <c:v>Aug. 10</c:v>
                </c:pt>
                <c:pt idx="45">
                  <c:v>Aug. 17</c:v>
                </c:pt>
                <c:pt idx="46">
                  <c:v>Aug. 24</c:v>
                </c:pt>
                <c:pt idx="47">
                  <c:v>Aug. 31</c:v>
                </c:pt>
                <c:pt idx="48">
                  <c:v>Sep. 7</c:v>
                </c:pt>
                <c:pt idx="49">
                  <c:v>Sep. 14</c:v>
                </c:pt>
                <c:pt idx="50">
                  <c:v>Sep. 21</c:v>
                </c:pt>
                <c:pt idx="51">
                  <c:v>Sep. 28</c:v>
                </c:pt>
              </c:strCache>
            </c:strRef>
          </c:cat>
          <c:val>
            <c:numRef>
              <c:f>'Figure 1'!$E$2:$E$53</c:f>
              <c:numCache>
                <c:formatCode>#,##0</c:formatCode>
                <c:ptCount val="52"/>
                <c:pt idx="0">
                  <c:v>178.19800000000001</c:v>
                </c:pt>
                <c:pt idx="1">
                  <c:v>215.215</c:v>
                </c:pt>
                <c:pt idx="2">
                  <c:v>221.18600000000001</c:v>
                </c:pt>
                <c:pt idx="3">
                  <c:v>228.01</c:v>
                </c:pt>
                <c:pt idx="4">
                  <c:v>316.01799999999997</c:v>
                </c:pt>
                <c:pt idx="5">
                  <c:v>361.15</c:v>
                </c:pt>
                <c:pt idx="6">
                  <c:v>387.452</c:v>
                </c:pt>
                <c:pt idx="7">
                  <c:v>389.93599999999998</c:v>
                </c:pt>
                <c:pt idx="8">
                  <c:v>398.363</c:v>
                </c:pt>
                <c:pt idx="9">
                  <c:v>405.971</c:v>
                </c:pt>
                <c:pt idx="10">
                  <c:v>426.84300000000002</c:v>
                </c:pt>
                <c:pt idx="11">
                  <c:v>487.58800000000002</c:v>
                </c:pt>
                <c:pt idx="12">
                  <c:v>491.11399999999998</c:v>
                </c:pt>
                <c:pt idx="13">
                  <c:v>502.22699999999998</c:v>
                </c:pt>
                <c:pt idx="14">
                  <c:v>554.51800000000003</c:v>
                </c:pt>
                <c:pt idx="15">
                  <c:v>573.649</c:v>
                </c:pt>
                <c:pt idx="16">
                  <c:v>584.18899999999996</c:v>
                </c:pt>
                <c:pt idx="17">
                  <c:v>583.75099999999998</c:v>
                </c:pt>
                <c:pt idx="18">
                  <c:v>588.10199999999998</c:v>
                </c:pt>
                <c:pt idx="19">
                  <c:v>592.476</c:v>
                </c:pt>
                <c:pt idx="20">
                  <c:v>597.93200000000002</c:v>
                </c:pt>
                <c:pt idx="21">
                  <c:v>602.84100000000001</c:v>
                </c:pt>
                <c:pt idx="22">
                  <c:v>621.92200000000003</c:v>
                </c:pt>
                <c:pt idx="23">
                  <c:v>635.07500000000005</c:v>
                </c:pt>
                <c:pt idx="24">
                  <c:v>639.15499999999997</c:v>
                </c:pt>
                <c:pt idx="25">
                  <c:v>654.87300000000005</c:v>
                </c:pt>
                <c:pt idx="26">
                  <c:v>653.41499999999996</c:v>
                </c:pt>
                <c:pt idx="27">
                  <c:v>659.09</c:v>
                </c:pt>
                <c:pt idx="28">
                  <c:v>662.721</c:v>
                </c:pt>
                <c:pt idx="29">
                  <c:v>668.798</c:v>
                </c:pt>
                <c:pt idx="30">
                  <c:v>669.60599999999999</c:v>
                </c:pt>
                <c:pt idx="31">
                  <c:v>665.08</c:v>
                </c:pt>
                <c:pt idx="32">
                  <c:v>666.79100000000005</c:v>
                </c:pt>
                <c:pt idx="33">
                  <c:v>667.80899999999997</c:v>
                </c:pt>
                <c:pt idx="34">
                  <c:v>670.98500000000001</c:v>
                </c:pt>
                <c:pt idx="35">
                  <c:v>673.18200000000002</c:v>
                </c:pt>
                <c:pt idx="36">
                  <c:v>675.55600000000004</c:v>
                </c:pt>
                <c:pt idx="37">
                  <c:v>677.87900000000002</c:v>
                </c:pt>
                <c:pt idx="38">
                  <c:v>677.44200000000001</c:v>
                </c:pt>
                <c:pt idx="39">
                  <c:v>676.55499999999995</c:v>
                </c:pt>
                <c:pt idx="40">
                  <c:v>677.26300000000003</c:v>
                </c:pt>
                <c:pt idx="41">
                  <c:v>679.42899999999997</c:v>
                </c:pt>
                <c:pt idx="42">
                  <c:v>682.63400000000001</c:v>
                </c:pt>
                <c:pt idx="43">
                  <c:v>682.98</c:v>
                </c:pt>
                <c:pt idx="44">
                  <c:v>683.51400000000001</c:v>
                </c:pt>
                <c:pt idx="45">
                  <c:v>686.47799999999995</c:v>
                </c:pt>
                <c:pt idx="46">
                  <c:v>690.58900000000006</c:v>
                </c:pt>
                <c:pt idx="47">
                  <c:v>689.01400000000001</c:v>
                </c:pt>
                <c:pt idx="48">
                  <c:v>687.34799999999996</c:v>
                </c:pt>
                <c:pt idx="49">
                  <c:v>691.65899999999999</c:v>
                </c:pt>
                <c:pt idx="50">
                  <c:v>697.66200000000003</c:v>
                </c:pt>
                <c:pt idx="51">
                  <c:v>692.30499999999995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7-450A-9AF7-8B513D0EC1F3}"/>
            </c:ext>
          </c:extLst>
        </c:ser>
        <c:ser>
          <c:idx val="2"/>
          <c:order val="4"/>
          <c:tx>
            <c:strRef>
              <c:f>'Figure 1'!$F$1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1'!$A$2:$A$53</c:f>
              <c:strCache>
                <c:ptCount val="52"/>
                <c:pt idx="0">
                  <c:v>Oct. 6</c:v>
                </c:pt>
                <c:pt idx="1">
                  <c:v>Oct. 13</c:v>
                </c:pt>
                <c:pt idx="2">
                  <c:v>Oct. 20</c:v>
                </c:pt>
                <c:pt idx="3">
                  <c:v>Oct. 27</c:v>
                </c:pt>
                <c:pt idx="4">
                  <c:v>Nov. 3</c:v>
                </c:pt>
                <c:pt idx="5">
                  <c:v>Nov. 10</c:v>
                </c:pt>
                <c:pt idx="6">
                  <c:v>Nov. 17</c:v>
                </c:pt>
                <c:pt idx="7">
                  <c:v>Nov. 24</c:v>
                </c:pt>
                <c:pt idx="8">
                  <c:v>Dec. 1</c:v>
                </c:pt>
                <c:pt idx="9">
                  <c:v>Dec. 8</c:v>
                </c:pt>
                <c:pt idx="10">
                  <c:v>Dec. 15</c:v>
                </c:pt>
                <c:pt idx="11">
                  <c:v>Dec. 22</c:v>
                </c:pt>
                <c:pt idx="12">
                  <c:v>Dec. 29</c:v>
                </c:pt>
                <c:pt idx="13">
                  <c:v>Jan. 5</c:v>
                </c:pt>
                <c:pt idx="14">
                  <c:v>Jan. 12</c:v>
                </c:pt>
                <c:pt idx="15">
                  <c:v>Jan. 19</c:v>
                </c:pt>
                <c:pt idx="16">
                  <c:v>Jan. 26</c:v>
                </c:pt>
                <c:pt idx="17">
                  <c:v>Feb. 2</c:v>
                </c:pt>
                <c:pt idx="18">
                  <c:v>Feb. 9</c:v>
                </c:pt>
                <c:pt idx="19">
                  <c:v>Feb. 16</c:v>
                </c:pt>
                <c:pt idx="20">
                  <c:v>Feb. 23</c:v>
                </c:pt>
                <c:pt idx="21">
                  <c:v>Mar. 2</c:v>
                </c:pt>
                <c:pt idx="22">
                  <c:v>Mar. 9</c:v>
                </c:pt>
                <c:pt idx="23">
                  <c:v>Mar. 16</c:v>
                </c:pt>
                <c:pt idx="24">
                  <c:v>Mar. 23</c:v>
                </c:pt>
                <c:pt idx="25">
                  <c:v>Mar. 30</c:v>
                </c:pt>
                <c:pt idx="26">
                  <c:v>Apr. 6</c:v>
                </c:pt>
                <c:pt idx="27">
                  <c:v>Apr. 13</c:v>
                </c:pt>
                <c:pt idx="28">
                  <c:v>Apr. 20</c:v>
                </c:pt>
                <c:pt idx="29">
                  <c:v>Apr. 27</c:v>
                </c:pt>
                <c:pt idx="30">
                  <c:v>May 4</c:v>
                </c:pt>
                <c:pt idx="31">
                  <c:v>May 11</c:v>
                </c:pt>
                <c:pt idx="32">
                  <c:v>May 18</c:v>
                </c:pt>
                <c:pt idx="33">
                  <c:v>May 25</c:v>
                </c:pt>
                <c:pt idx="34">
                  <c:v>Jun. 1</c:v>
                </c:pt>
                <c:pt idx="35">
                  <c:v>Jun. 8</c:v>
                </c:pt>
                <c:pt idx="36">
                  <c:v>Jun. 15</c:v>
                </c:pt>
                <c:pt idx="37">
                  <c:v>Jun. 22</c:v>
                </c:pt>
                <c:pt idx="38">
                  <c:v>Jun. 29</c:v>
                </c:pt>
                <c:pt idx="39">
                  <c:v>Jul. 6</c:v>
                </c:pt>
                <c:pt idx="40">
                  <c:v>Jul. 13</c:v>
                </c:pt>
                <c:pt idx="41">
                  <c:v>Jul. 20</c:v>
                </c:pt>
                <c:pt idx="42">
                  <c:v>Jul. 27</c:v>
                </c:pt>
                <c:pt idx="43">
                  <c:v>Aug. 3</c:v>
                </c:pt>
                <c:pt idx="44">
                  <c:v>Aug. 10</c:v>
                </c:pt>
                <c:pt idx="45">
                  <c:v>Aug. 17</c:v>
                </c:pt>
                <c:pt idx="46">
                  <c:v>Aug. 24</c:v>
                </c:pt>
                <c:pt idx="47">
                  <c:v>Aug. 31</c:v>
                </c:pt>
                <c:pt idx="48">
                  <c:v>Sep. 7</c:v>
                </c:pt>
                <c:pt idx="49">
                  <c:v>Sep. 14</c:v>
                </c:pt>
                <c:pt idx="50">
                  <c:v>Sep. 21</c:v>
                </c:pt>
                <c:pt idx="51">
                  <c:v>Sep. 28</c:v>
                </c:pt>
              </c:strCache>
            </c:strRef>
          </c:cat>
          <c:val>
            <c:numRef>
              <c:f>'Figure 1'!$F$2:$F$53</c:f>
              <c:numCache>
                <c:formatCode>#,##0</c:formatCode>
                <c:ptCount val="52"/>
                <c:pt idx="0">
                  <c:v>104.996</c:v>
                </c:pt>
                <c:pt idx="1">
                  <c:v>107.997</c:v>
                </c:pt>
                <c:pt idx="2">
                  <c:v>122.62</c:v>
                </c:pt>
                <c:pt idx="3">
                  <c:v>133.84399999999999</c:v>
                </c:pt>
                <c:pt idx="4">
                  <c:v>144.267</c:v>
                </c:pt>
                <c:pt idx="5">
                  <c:v>211.74700000000001</c:v>
                </c:pt>
                <c:pt idx="6">
                  <c:v>253.78100000000001</c:v>
                </c:pt>
                <c:pt idx="7">
                  <c:v>303.10399999999998</c:v>
                </c:pt>
                <c:pt idx="8">
                  <c:v>308.41500000000002</c:v>
                </c:pt>
                <c:pt idx="9">
                  <c:v>319.00099999999998</c:v>
                </c:pt>
                <c:pt idx="10">
                  <c:v>428.48</c:v>
                </c:pt>
                <c:pt idx="11">
                  <c:v>437.78199999999998</c:v>
                </c:pt>
                <c:pt idx="12">
                  <c:v>440.68900000000002</c:v>
                </c:pt>
                <c:pt idx="13">
                  <c:v>437.75299999999999</c:v>
                </c:pt>
                <c:pt idx="14">
                  <c:v>468.48599999999999</c:v>
                </c:pt>
                <c:pt idx="15">
                  <c:v>480.63900000000001</c:v>
                </c:pt>
                <c:pt idx="16">
                  <c:v>484.78800000000001</c:v>
                </c:pt>
                <c:pt idx="17">
                  <c:v>487.661</c:v>
                </c:pt>
                <c:pt idx="18">
                  <c:v>523.04</c:v>
                </c:pt>
                <c:pt idx="19">
                  <c:v>558.51</c:v>
                </c:pt>
                <c:pt idx="20">
                  <c:v>565.09799999999996</c:v>
                </c:pt>
                <c:pt idx="21">
                  <c:v>581.71</c:v>
                </c:pt>
                <c:pt idx="22">
                  <c:v>604.34900000000005</c:v>
                </c:pt>
                <c:pt idx="23">
                  <c:v>602.36300000000006</c:v>
                </c:pt>
                <c:pt idx="24">
                  <c:v>633.29499999999996</c:v>
                </c:pt>
                <c:pt idx="25">
                  <c:v>639.54300000000001</c:v>
                </c:pt>
                <c:pt idx="26">
                  <c:v>645.66700000000003</c:v>
                </c:pt>
                <c:pt idx="27">
                  <c:v>646.86400000000003</c:v>
                </c:pt>
                <c:pt idx="28">
                  <c:v>650.34400000000005</c:v>
                </c:pt>
                <c:pt idx="29">
                  <c:v>665.08600000000001</c:v>
                </c:pt>
                <c:pt idx="30">
                  <c:v>665.72199999999998</c:v>
                </c:pt>
                <c:pt idx="31">
                  <c:v>665.23099999999999</c:v>
                </c:pt>
                <c:pt idx="32">
                  <c:v>671.39400000000001</c:v>
                </c:pt>
                <c:pt idx="33">
                  <c:v>675.56600000000003</c:v>
                </c:pt>
                <c:pt idx="34">
                  <c:v>676.82399999999996</c:v>
                </c:pt>
                <c:pt idx="35">
                  <c:v>683.005</c:v>
                </c:pt>
                <c:pt idx="36">
                  <c:v>684.38099999999997</c:v>
                </c:pt>
                <c:pt idx="37">
                  <c:v>685.54399999999998</c:v>
                </c:pt>
                <c:pt idx="38">
                  <c:v>685.53200000000004</c:v>
                </c:pt>
                <c:pt idx="39">
                  <c:v>686.54600000000005</c:v>
                </c:pt>
                <c:pt idx="40">
                  <c:v>687.17200000000003</c:v>
                </c:pt>
                <c:pt idx="41">
                  <c:v>691.73699999999997</c:v>
                </c:pt>
                <c:pt idx="42">
                  <c:v>693.05799999999999</c:v>
                </c:pt>
                <c:pt idx="43">
                  <c:v>693.7</c:v>
                </c:pt>
                <c:pt idx="44">
                  <c:v>695.29399999999998</c:v>
                </c:pt>
                <c:pt idx="45">
                  <c:v>695.29399999999998</c:v>
                </c:pt>
                <c:pt idx="46">
                  <c:v>697.47199999999998</c:v>
                </c:pt>
                <c:pt idx="47">
                  <c:v>698.96799999999996</c:v>
                </c:pt>
                <c:pt idx="48">
                  <c:v>703.28300000000002</c:v>
                </c:pt>
                <c:pt idx="49">
                  <c:v>702.86599999999999</c:v>
                </c:pt>
                <c:pt idx="50">
                  <c:v>697.83799999999997</c:v>
                </c:pt>
                <c:pt idx="51">
                  <c:v>698.73599999999999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57-450A-9AF7-8B513D0EC1F3}"/>
            </c:ext>
          </c:extLst>
        </c:ser>
        <c:ser>
          <c:idx val="3"/>
          <c:order val="5"/>
          <c:tx>
            <c:strRef>
              <c:f>'Figure 1'!$G$1</c:f>
              <c:strCache>
                <c:ptCount val="1"/>
                <c:pt idx="0">
                  <c:v>2022/23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1'!$A$2:$A$53</c:f>
              <c:strCache>
                <c:ptCount val="52"/>
                <c:pt idx="0">
                  <c:v>Oct. 6</c:v>
                </c:pt>
                <c:pt idx="1">
                  <c:v>Oct. 13</c:v>
                </c:pt>
                <c:pt idx="2">
                  <c:v>Oct. 20</c:v>
                </c:pt>
                <c:pt idx="3">
                  <c:v>Oct. 27</c:v>
                </c:pt>
                <c:pt idx="4">
                  <c:v>Nov. 3</c:v>
                </c:pt>
                <c:pt idx="5">
                  <c:v>Nov. 10</c:v>
                </c:pt>
                <c:pt idx="6">
                  <c:v>Nov. 17</c:v>
                </c:pt>
                <c:pt idx="7">
                  <c:v>Nov. 24</c:v>
                </c:pt>
                <c:pt idx="8">
                  <c:v>Dec. 1</c:v>
                </c:pt>
                <c:pt idx="9">
                  <c:v>Dec. 8</c:v>
                </c:pt>
                <c:pt idx="10">
                  <c:v>Dec. 15</c:v>
                </c:pt>
                <c:pt idx="11">
                  <c:v>Dec. 22</c:v>
                </c:pt>
                <c:pt idx="12">
                  <c:v>Dec. 29</c:v>
                </c:pt>
                <c:pt idx="13">
                  <c:v>Jan. 5</c:v>
                </c:pt>
                <c:pt idx="14">
                  <c:v>Jan. 12</c:v>
                </c:pt>
                <c:pt idx="15">
                  <c:v>Jan. 19</c:v>
                </c:pt>
                <c:pt idx="16">
                  <c:v>Jan. 26</c:v>
                </c:pt>
                <c:pt idx="17">
                  <c:v>Feb. 2</c:v>
                </c:pt>
                <c:pt idx="18">
                  <c:v>Feb. 9</c:v>
                </c:pt>
                <c:pt idx="19">
                  <c:v>Feb. 16</c:v>
                </c:pt>
                <c:pt idx="20">
                  <c:v>Feb. 23</c:v>
                </c:pt>
                <c:pt idx="21">
                  <c:v>Mar. 2</c:v>
                </c:pt>
                <c:pt idx="22">
                  <c:v>Mar. 9</c:v>
                </c:pt>
                <c:pt idx="23">
                  <c:v>Mar. 16</c:v>
                </c:pt>
                <c:pt idx="24">
                  <c:v>Mar. 23</c:v>
                </c:pt>
                <c:pt idx="25">
                  <c:v>Mar. 30</c:v>
                </c:pt>
                <c:pt idx="26">
                  <c:v>Apr. 6</c:v>
                </c:pt>
                <c:pt idx="27">
                  <c:v>Apr. 13</c:v>
                </c:pt>
                <c:pt idx="28">
                  <c:v>Apr. 20</c:v>
                </c:pt>
                <c:pt idx="29">
                  <c:v>Apr. 27</c:v>
                </c:pt>
                <c:pt idx="30">
                  <c:v>May 4</c:v>
                </c:pt>
                <c:pt idx="31">
                  <c:v>May 11</c:v>
                </c:pt>
                <c:pt idx="32">
                  <c:v>May 18</c:v>
                </c:pt>
                <c:pt idx="33">
                  <c:v>May 25</c:v>
                </c:pt>
                <c:pt idx="34">
                  <c:v>Jun. 1</c:v>
                </c:pt>
                <c:pt idx="35">
                  <c:v>Jun. 8</c:v>
                </c:pt>
                <c:pt idx="36">
                  <c:v>Jun. 15</c:v>
                </c:pt>
                <c:pt idx="37">
                  <c:v>Jun. 22</c:v>
                </c:pt>
                <c:pt idx="38">
                  <c:v>Jun. 29</c:v>
                </c:pt>
                <c:pt idx="39">
                  <c:v>Jul. 6</c:v>
                </c:pt>
                <c:pt idx="40">
                  <c:v>Jul. 13</c:v>
                </c:pt>
                <c:pt idx="41">
                  <c:v>Jul. 20</c:v>
                </c:pt>
                <c:pt idx="42">
                  <c:v>Jul. 27</c:v>
                </c:pt>
                <c:pt idx="43">
                  <c:v>Aug. 3</c:v>
                </c:pt>
                <c:pt idx="44">
                  <c:v>Aug. 10</c:v>
                </c:pt>
                <c:pt idx="45">
                  <c:v>Aug. 17</c:v>
                </c:pt>
                <c:pt idx="46">
                  <c:v>Aug. 24</c:v>
                </c:pt>
                <c:pt idx="47">
                  <c:v>Aug. 31</c:v>
                </c:pt>
                <c:pt idx="48">
                  <c:v>Sep. 7</c:v>
                </c:pt>
                <c:pt idx="49">
                  <c:v>Sep. 14</c:v>
                </c:pt>
                <c:pt idx="50">
                  <c:v>Sep. 21</c:v>
                </c:pt>
                <c:pt idx="51">
                  <c:v>Sep. 28</c:v>
                </c:pt>
              </c:strCache>
            </c:strRef>
          </c:cat>
          <c:val>
            <c:numRef>
              <c:f>'Figure 1'!$G$2:$G$9</c:f>
              <c:numCache>
                <c:formatCode>#,##0</c:formatCode>
                <c:ptCount val="8"/>
                <c:pt idx="0">
                  <c:v>20.036999999999999</c:v>
                </c:pt>
                <c:pt idx="1">
                  <c:v>29.353999999999999</c:v>
                </c:pt>
                <c:pt idx="2">
                  <c:v>31.888999999999999</c:v>
                </c:pt>
                <c:pt idx="3">
                  <c:v>29.536999999999999</c:v>
                </c:pt>
                <c:pt idx="4">
                  <c:v>32.262</c:v>
                </c:pt>
                <c:pt idx="5">
                  <c:v>32.636000000000003</c:v>
                </c:pt>
                <c:pt idx="6">
                  <c:v>32.539000000000001</c:v>
                </c:pt>
                <c:pt idx="7">
                  <c:v>30.233000000000001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57-450A-9AF7-8B513D0EC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Week ending</a:t>
                </a:r>
              </a:p>
            </c:rich>
          </c:tx>
          <c:layout>
            <c:manualLayout>
              <c:xMode val="edge"/>
              <c:yMode val="edge"/>
              <c:x val="0.46324668551046505"/>
              <c:y val="0.8574782318876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ax val="13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Thousand metric tons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85941601049869"/>
          <c:y val="7.3448059956360875E-2"/>
          <c:w val="0.77589058398950128"/>
          <c:h val="7.66148689245169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2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Biomass-based diesel production and feedstock use</a:t>
            </a:r>
            <a:endParaRPr lang="en-US" sz="1050" b="1"/>
          </a:p>
        </c:rich>
      </c:tx>
      <c:layout>
        <c:manualLayout>
          <c:xMode val="edge"/>
          <c:yMode val="edge"/>
          <c:x val="1.4458792104600688E-3"/>
          <c:y val="6.28925230500033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64768826973552E-2"/>
          <c:y val="0.15670176644586092"/>
          <c:w val="0.86748872737061711"/>
          <c:h val="0.50517253051701871"/>
        </c:manualLayout>
      </c:layout>
      <c:areaChart>
        <c:grouping val="stacked"/>
        <c:varyColors val="0"/>
        <c:ser>
          <c:idx val="1"/>
          <c:order val="0"/>
          <c:tx>
            <c:strRef>
              <c:f>'Figure 2'!$B$2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'Figure 2'!$A$3:$A$14</c:f>
              <c:strCache>
                <c:ptCount val="12"/>
                <c:pt idx="0">
                  <c:v>Oct. 2021</c:v>
                </c:pt>
                <c:pt idx="1">
                  <c:v>Nov. 2021</c:v>
                </c:pt>
                <c:pt idx="2">
                  <c:v>Dec. 2021</c:v>
                </c:pt>
                <c:pt idx="3">
                  <c:v>Jan. 2022</c:v>
                </c:pt>
                <c:pt idx="4">
                  <c:v>Feb. 2022</c:v>
                </c:pt>
                <c:pt idx="5">
                  <c:v>Mar. 2022</c:v>
                </c:pt>
                <c:pt idx="6">
                  <c:v>Apr. 2022</c:v>
                </c:pt>
                <c:pt idx="7">
                  <c:v>May 2022</c:v>
                </c:pt>
                <c:pt idx="8">
                  <c:v>Jun. 2022</c:v>
                </c:pt>
                <c:pt idx="9">
                  <c:v>Jul. 2022</c:v>
                </c:pt>
                <c:pt idx="10">
                  <c:v>Aug. 2022</c:v>
                </c:pt>
                <c:pt idx="11">
                  <c:v>Sep. 2022</c:v>
                </c:pt>
              </c:strCache>
            </c:strRef>
          </c:cat>
          <c:val>
            <c:numRef>
              <c:f>'Figure 2'!$B$3:$B$13</c:f>
              <c:numCache>
                <c:formatCode>#,##0</c:formatCode>
                <c:ptCount val="11"/>
                <c:pt idx="0">
                  <c:v>145.87200000000001</c:v>
                </c:pt>
                <c:pt idx="1">
                  <c:v>141.10300000000001</c:v>
                </c:pt>
                <c:pt idx="2">
                  <c:v>153.48599999999999</c:v>
                </c:pt>
                <c:pt idx="3">
                  <c:v>120.053</c:v>
                </c:pt>
                <c:pt idx="4">
                  <c:v>113.836</c:v>
                </c:pt>
                <c:pt idx="5">
                  <c:v>132.839</c:v>
                </c:pt>
                <c:pt idx="6">
                  <c:v>126.994</c:v>
                </c:pt>
                <c:pt idx="7">
                  <c:v>135.99100000000001</c:v>
                </c:pt>
                <c:pt idx="8">
                  <c:v>137.238</c:v>
                </c:pt>
                <c:pt idx="9">
                  <c:v>146.68199999999999</c:v>
                </c:pt>
                <c:pt idx="10">
                  <c:v>147.881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D-4555-A083-D9C446FC3831}"/>
            </c:ext>
          </c:extLst>
        </c:ser>
        <c:ser>
          <c:idx val="0"/>
          <c:order val="1"/>
          <c:tx>
            <c:strRef>
              <c:f>'Figure 2'!$C$2</c:f>
              <c:strCache>
                <c:ptCount val="1"/>
                <c:pt idx="0">
                  <c:v>Renewable diesel fuel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'Figure 2'!$A$3:$A$14</c:f>
              <c:strCache>
                <c:ptCount val="12"/>
                <c:pt idx="0">
                  <c:v>Oct. 2021</c:v>
                </c:pt>
                <c:pt idx="1">
                  <c:v>Nov. 2021</c:v>
                </c:pt>
                <c:pt idx="2">
                  <c:v>Dec. 2021</c:v>
                </c:pt>
                <c:pt idx="3">
                  <c:v>Jan. 2022</c:v>
                </c:pt>
                <c:pt idx="4">
                  <c:v>Feb. 2022</c:v>
                </c:pt>
                <c:pt idx="5">
                  <c:v>Mar. 2022</c:v>
                </c:pt>
                <c:pt idx="6">
                  <c:v>Apr. 2022</c:v>
                </c:pt>
                <c:pt idx="7">
                  <c:v>May 2022</c:v>
                </c:pt>
                <c:pt idx="8">
                  <c:v>Jun. 2022</c:v>
                </c:pt>
                <c:pt idx="9">
                  <c:v>Jul. 2022</c:v>
                </c:pt>
                <c:pt idx="10">
                  <c:v>Aug. 2022</c:v>
                </c:pt>
                <c:pt idx="11">
                  <c:v>Sep. 2022</c:v>
                </c:pt>
              </c:strCache>
            </c:strRef>
          </c:cat>
          <c:val>
            <c:numRef>
              <c:f>'Figure 2'!$C$3:$C$13</c:f>
              <c:numCache>
                <c:formatCode>#,##0</c:formatCode>
                <c:ptCount val="11"/>
                <c:pt idx="0">
                  <c:v>85.155000000000001</c:v>
                </c:pt>
                <c:pt idx="1">
                  <c:v>94.695999999999998</c:v>
                </c:pt>
                <c:pt idx="2">
                  <c:v>114.236</c:v>
                </c:pt>
                <c:pt idx="3">
                  <c:v>110.562</c:v>
                </c:pt>
                <c:pt idx="4">
                  <c:v>96.58</c:v>
                </c:pt>
                <c:pt idx="5">
                  <c:v>109.033</c:v>
                </c:pt>
                <c:pt idx="6">
                  <c:v>119.155</c:v>
                </c:pt>
                <c:pt idx="7">
                  <c:v>126.27500000000001</c:v>
                </c:pt>
                <c:pt idx="8">
                  <c:v>123.679</c:v>
                </c:pt>
                <c:pt idx="9">
                  <c:v>129.02500000000001</c:v>
                </c:pt>
                <c:pt idx="10">
                  <c:v>116.934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6D-4555-A083-D9C446FC3831}"/>
            </c:ext>
          </c:extLst>
        </c:ser>
        <c:ser>
          <c:idx val="2"/>
          <c:order val="2"/>
          <c:tx>
            <c:strRef>
              <c:f>'Figure 2'!$D$2</c:f>
              <c:strCache>
                <c:ptCount val="1"/>
                <c:pt idx="0">
                  <c:v>Other biofuels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'Figure 2'!$A$3:$A$14</c:f>
              <c:strCache>
                <c:ptCount val="12"/>
                <c:pt idx="0">
                  <c:v>Oct. 2021</c:v>
                </c:pt>
                <c:pt idx="1">
                  <c:v>Nov. 2021</c:v>
                </c:pt>
                <c:pt idx="2">
                  <c:v>Dec. 2021</c:v>
                </c:pt>
                <c:pt idx="3">
                  <c:v>Jan. 2022</c:v>
                </c:pt>
                <c:pt idx="4">
                  <c:v>Feb. 2022</c:v>
                </c:pt>
                <c:pt idx="5">
                  <c:v>Mar. 2022</c:v>
                </c:pt>
                <c:pt idx="6">
                  <c:v>Apr. 2022</c:v>
                </c:pt>
                <c:pt idx="7">
                  <c:v>May 2022</c:v>
                </c:pt>
                <c:pt idx="8">
                  <c:v>Jun. 2022</c:v>
                </c:pt>
                <c:pt idx="9">
                  <c:v>Jul. 2022</c:v>
                </c:pt>
                <c:pt idx="10">
                  <c:v>Aug. 2022</c:v>
                </c:pt>
                <c:pt idx="11">
                  <c:v>Sep. 2022</c:v>
                </c:pt>
              </c:strCache>
            </c:strRef>
          </c:cat>
          <c:val>
            <c:numRef>
              <c:f>'Figure 2'!$D$3:$D$13</c:f>
              <c:numCache>
                <c:formatCode>#,##0</c:formatCode>
                <c:ptCount val="11"/>
                <c:pt idx="0">
                  <c:v>8.0190000000000001</c:v>
                </c:pt>
                <c:pt idx="1">
                  <c:v>9.5329999999999995</c:v>
                </c:pt>
                <c:pt idx="2">
                  <c:v>10.944000000000001</c:v>
                </c:pt>
                <c:pt idx="3">
                  <c:v>12.929</c:v>
                </c:pt>
                <c:pt idx="4">
                  <c:v>12.849</c:v>
                </c:pt>
                <c:pt idx="5">
                  <c:v>11.704000000000001</c:v>
                </c:pt>
                <c:pt idx="6">
                  <c:v>13.724</c:v>
                </c:pt>
                <c:pt idx="7">
                  <c:v>14.083</c:v>
                </c:pt>
                <c:pt idx="8">
                  <c:v>15.343999999999999</c:v>
                </c:pt>
                <c:pt idx="9">
                  <c:v>18.353000000000002</c:v>
                </c:pt>
                <c:pt idx="10">
                  <c:v>18.722999999999999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6D-4555-A083-D9C446FC3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barChart>
        <c:barDir val="col"/>
        <c:grouping val="clustered"/>
        <c:varyColors val="0"/>
        <c:ser>
          <c:idx val="3"/>
          <c:order val="3"/>
          <c:tx>
            <c:strRef>
              <c:f>'Figure 2'!$E$2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'Figure 2'!$A$3:$A$14</c:f>
              <c:strCache>
                <c:ptCount val="12"/>
                <c:pt idx="0">
                  <c:v>Oct. 2021</c:v>
                </c:pt>
                <c:pt idx="1">
                  <c:v>Nov. 2021</c:v>
                </c:pt>
                <c:pt idx="2">
                  <c:v>Dec. 2021</c:v>
                </c:pt>
                <c:pt idx="3">
                  <c:v>Jan. 2022</c:v>
                </c:pt>
                <c:pt idx="4">
                  <c:v>Feb. 2022</c:v>
                </c:pt>
                <c:pt idx="5">
                  <c:v>Mar. 2022</c:v>
                </c:pt>
                <c:pt idx="6">
                  <c:v>Apr. 2022</c:v>
                </c:pt>
                <c:pt idx="7">
                  <c:v>May 2022</c:v>
                </c:pt>
                <c:pt idx="8">
                  <c:v>Jun. 2022</c:v>
                </c:pt>
                <c:pt idx="9">
                  <c:v>Jul. 2022</c:v>
                </c:pt>
                <c:pt idx="10">
                  <c:v>Aug. 2022</c:v>
                </c:pt>
                <c:pt idx="11">
                  <c:v>Sep. 2022</c:v>
                </c:pt>
              </c:strCache>
            </c:strRef>
          </c:cat>
          <c:val>
            <c:numRef>
              <c:f>'Figure 2'!$E$3:$E$14</c:f>
              <c:numCache>
                <c:formatCode>#,##0</c:formatCode>
                <c:ptCount val="12"/>
                <c:pt idx="0">
                  <c:v>832.42700000000002</c:v>
                </c:pt>
                <c:pt idx="1">
                  <c:v>818.01271279999992</c:v>
                </c:pt>
                <c:pt idx="2">
                  <c:v>938.34100000000001</c:v>
                </c:pt>
                <c:pt idx="3">
                  <c:v>791.38699999999994</c:v>
                </c:pt>
                <c:pt idx="4">
                  <c:v>740.60299999999995</c:v>
                </c:pt>
                <c:pt idx="5">
                  <c:v>908.29</c:v>
                </c:pt>
                <c:pt idx="6">
                  <c:v>838.9</c:v>
                </c:pt>
                <c:pt idx="7">
                  <c:v>855.57100000000003</c:v>
                </c:pt>
                <c:pt idx="8">
                  <c:v>809.79899999999998</c:v>
                </c:pt>
                <c:pt idx="9">
                  <c:v>956.48800000000006</c:v>
                </c:pt>
                <c:pt idx="10">
                  <c:v>924.71799999999996</c:v>
                </c:pt>
                <c:pt idx="11">
                  <c:v>933.65499999999997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6D-4555-A083-D9C446FC3831}"/>
            </c:ext>
          </c:extLst>
        </c:ser>
        <c:ser>
          <c:idx val="4"/>
          <c:order val="4"/>
          <c:tx>
            <c:strRef>
              <c:f>'Figure 2'!$F$2</c:f>
              <c:strCache>
                <c:ptCount val="1"/>
                <c:pt idx="0">
                  <c:v>Corn oil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'Figure 2'!$A$3:$A$14</c:f>
              <c:strCache>
                <c:ptCount val="12"/>
                <c:pt idx="0">
                  <c:v>Oct. 2021</c:v>
                </c:pt>
                <c:pt idx="1">
                  <c:v>Nov. 2021</c:v>
                </c:pt>
                <c:pt idx="2">
                  <c:v>Dec. 2021</c:v>
                </c:pt>
                <c:pt idx="3">
                  <c:v>Jan. 2022</c:v>
                </c:pt>
                <c:pt idx="4">
                  <c:v>Feb. 2022</c:v>
                </c:pt>
                <c:pt idx="5">
                  <c:v>Mar. 2022</c:v>
                </c:pt>
                <c:pt idx="6">
                  <c:v>Apr. 2022</c:v>
                </c:pt>
                <c:pt idx="7">
                  <c:v>May 2022</c:v>
                </c:pt>
                <c:pt idx="8">
                  <c:v>Jun. 2022</c:v>
                </c:pt>
                <c:pt idx="9">
                  <c:v>Jul. 2022</c:v>
                </c:pt>
                <c:pt idx="10">
                  <c:v>Aug. 2022</c:v>
                </c:pt>
                <c:pt idx="11">
                  <c:v>Sep. 2022</c:v>
                </c:pt>
              </c:strCache>
            </c:strRef>
          </c:cat>
          <c:val>
            <c:numRef>
              <c:f>'Figure 2'!$F$3:$F$14</c:f>
              <c:numCache>
                <c:formatCode>#,##0</c:formatCode>
                <c:ptCount val="12"/>
                <c:pt idx="0">
                  <c:v>217.39599999999999</c:v>
                </c:pt>
                <c:pt idx="1">
                  <c:v>243.87184300000001</c:v>
                </c:pt>
                <c:pt idx="2">
                  <c:v>300.82</c:v>
                </c:pt>
                <c:pt idx="3">
                  <c:v>249.209</c:v>
                </c:pt>
                <c:pt idx="4">
                  <c:v>188.44900000000001</c:v>
                </c:pt>
                <c:pt idx="5">
                  <c:v>212.01</c:v>
                </c:pt>
                <c:pt idx="6">
                  <c:v>210.94499999999999</c:v>
                </c:pt>
                <c:pt idx="7">
                  <c:v>246.16300000000001</c:v>
                </c:pt>
                <c:pt idx="8">
                  <c:v>298.16699999999997</c:v>
                </c:pt>
                <c:pt idx="9">
                  <c:v>261.36200000000002</c:v>
                </c:pt>
                <c:pt idx="10">
                  <c:v>297.709</c:v>
                </c:pt>
                <c:pt idx="11">
                  <c:v>301.505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6D-4555-A083-D9C446FC3831}"/>
            </c:ext>
          </c:extLst>
        </c:ser>
        <c:ser>
          <c:idx val="5"/>
          <c:order val="5"/>
          <c:tx>
            <c:strRef>
              <c:f>'Figure 2'!$G$2</c:f>
              <c:strCache>
                <c:ptCount val="1"/>
                <c:pt idx="0">
                  <c:v>Canola oil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'Figure 2'!$A$3:$A$14</c:f>
              <c:strCache>
                <c:ptCount val="12"/>
                <c:pt idx="0">
                  <c:v>Oct. 2021</c:v>
                </c:pt>
                <c:pt idx="1">
                  <c:v>Nov. 2021</c:v>
                </c:pt>
                <c:pt idx="2">
                  <c:v>Dec. 2021</c:v>
                </c:pt>
                <c:pt idx="3">
                  <c:v>Jan. 2022</c:v>
                </c:pt>
                <c:pt idx="4">
                  <c:v>Feb. 2022</c:v>
                </c:pt>
                <c:pt idx="5">
                  <c:v>Mar. 2022</c:v>
                </c:pt>
                <c:pt idx="6">
                  <c:v>Apr. 2022</c:v>
                </c:pt>
                <c:pt idx="7">
                  <c:v>May 2022</c:v>
                </c:pt>
                <c:pt idx="8">
                  <c:v>Jun. 2022</c:v>
                </c:pt>
                <c:pt idx="9">
                  <c:v>Jul. 2022</c:v>
                </c:pt>
                <c:pt idx="10">
                  <c:v>Aug. 2022</c:v>
                </c:pt>
                <c:pt idx="11">
                  <c:v>Sep. 2022</c:v>
                </c:pt>
              </c:strCache>
            </c:strRef>
          </c:cat>
          <c:val>
            <c:numRef>
              <c:f>'Figure 2'!$G$3:$G$14</c:f>
              <c:numCache>
                <c:formatCode>#,##0</c:formatCode>
                <c:ptCount val="12"/>
                <c:pt idx="0">
                  <c:v>115.738</c:v>
                </c:pt>
                <c:pt idx="1">
                  <c:v>132.672888</c:v>
                </c:pt>
                <c:pt idx="2">
                  <c:v>126.211</c:v>
                </c:pt>
                <c:pt idx="3">
                  <c:v>63.920999999999999</c:v>
                </c:pt>
                <c:pt idx="4">
                  <c:v>0</c:v>
                </c:pt>
                <c:pt idx="5">
                  <c:v>0</c:v>
                </c:pt>
                <c:pt idx="6">
                  <c:v>100.935</c:v>
                </c:pt>
                <c:pt idx="7">
                  <c:v>120.535</c:v>
                </c:pt>
                <c:pt idx="8">
                  <c:v>123.18899999999999</c:v>
                </c:pt>
                <c:pt idx="9">
                  <c:v>131.798</c:v>
                </c:pt>
                <c:pt idx="10">
                  <c:v>132.126</c:v>
                </c:pt>
                <c:pt idx="11">
                  <c:v>130.81200000000001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6D-4555-A083-D9C446FC3831}"/>
            </c:ext>
          </c:extLst>
        </c:ser>
        <c:ser>
          <c:idx val="6"/>
          <c:order val="6"/>
          <c:tx>
            <c:strRef>
              <c:f>'Figure 2'!$H$2</c:f>
              <c:strCache>
                <c:ptCount val="1"/>
                <c:pt idx="0">
                  <c:v>Tallow (beef)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2'!$A$3:$A$14</c:f>
              <c:strCache>
                <c:ptCount val="12"/>
                <c:pt idx="0">
                  <c:v>Oct. 2021</c:v>
                </c:pt>
                <c:pt idx="1">
                  <c:v>Nov. 2021</c:v>
                </c:pt>
                <c:pt idx="2">
                  <c:v>Dec. 2021</c:v>
                </c:pt>
                <c:pt idx="3">
                  <c:v>Jan. 2022</c:v>
                </c:pt>
                <c:pt idx="4">
                  <c:v>Feb. 2022</c:v>
                </c:pt>
                <c:pt idx="5">
                  <c:v>Mar. 2022</c:v>
                </c:pt>
                <c:pt idx="6">
                  <c:v>Apr. 2022</c:v>
                </c:pt>
                <c:pt idx="7">
                  <c:v>May 2022</c:v>
                </c:pt>
                <c:pt idx="8">
                  <c:v>Jun. 2022</c:v>
                </c:pt>
                <c:pt idx="9">
                  <c:v>Jul. 2022</c:v>
                </c:pt>
                <c:pt idx="10">
                  <c:v>Aug. 2022</c:v>
                </c:pt>
                <c:pt idx="11">
                  <c:v>Sep. 2022</c:v>
                </c:pt>
              </c:strCache>
            </c:strRef>
          </c:cat>
          <c:val>
            <c:numRef>
              <c:f>'Figure 2'!$H$3:$H$14</c:f>
              <c:numCache>
                <c:formatCode>#,##0</c:formatCode>
                <c:ptCount val="12"/>
                <c:pt idx="0">
                  <c:v>140.90899999999999</c:v>
                </c:pt>
                <c:pt idx="1">
                  <c:v>111.976</c:v>
                </c:pt>
                <c:pt idx="2">
                  <c:v>160.22399999999999</c:v>
                </c:pt>
                <c:pt idx="3">
                  <c:v>140.52199999999999</c:v>
                </c:pt>
                <c:pt idx="4">
                  <c:v>130.161</c:v>
                </c:pt>
                <c:pt idx="5">
                  <c:v>127.2</c:v>
                </c:pt>
                <c:pt idx="6">
                  <c:v>129.69200000000001</c:v>
                </c:pt>
                <c:pt idx="7">
                  <c:v>161.744</c:v>
                </c:pt>
                <c:pt idx="8">
                  <c:v>153.17500000000001</c:v>
                </c:pt>
                <c:pt idx="9">
                  <c:v>166.97399999999999</c:v>
                </c:pt>
                <c:pt idx="10">
                  <c:v>163.48400000000001</c:v>
                </c:pt>
                <c:pt idx="11">
                  <c:v>131.16999999999999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6D-4555-A083-D9C446FC3831}"/>
            </c:ext>
          </c:extLst>
        </c:ser>
        <c:ser>
          <c:idx val="7"/>
          <c:order val="7"/>
          <c:tx>
            <c:strRef>
              <c:f>'Figure 2'!$I$2</c:f>
              <c:strCache>
                <c:ptCount val="1"/>
                <c:pt idx="0">
                  <c:v>White grease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'Figure 2'!$A$3:$A$14</c:f>
              <c:strCache>
                <c:ptCount val="12"/>
                <c:pt idx="0">
                  <c:v>Oct. 2021</c:v>
                </c:pt>
                <c:pt idx="1">
                  <c:v>Nov. 2021</c:v>
                </c:pt>
                <c:pt idx="2">
                  <c:v>Dec. 2021</c:v>
                </c:pt>
                <c:pt idx="3">
                  <c:v>Jan. 2022</c:v>
                </c:pt>
                <c:pt idx="4">
                  <c:v>Feb. 2022</c:v>
                </c:pt>
                <c:pt idx="5">
                  <c:v>Mar. 2022</c:v>
                </c:pt>
                <c:pt idx="6">
                  <c:v>Apr. 2022</c:v>
                </c:pt>
                <c:pt idx="7">
                  <c:v>May 2022</c:v>
                </c:pt>
                <c:pt idx="8">
                  <c:v>Jun. 2022</c:v>
                </c:pt>
                <c:pt idx="9">
                  <c:v>Jul. 2022</c:v>
                </c:pt>
                <c:pt idx="10">
                  <c:v>Aug. 2022</c:v>
                </c:pt>
                <c:pt idx="11">
                  <c:v>Sep. 2022</c:v>
                </c:pt>
              </c:strCache>
            </c:strRef>
          </c:cat>
          <c:val>
            <c:numRef>
              <c:f>'Figure 2'!$I$3:$I$14</c:f>
              <c:numCache>
                <c:formatCode>#,##0</c:formatCode>
                <c:ptCount val="12"/>
                <c:pt idx="0">
                  <c:v>67.417000000000002</c:v>
                </c:pt>
                <c:pt idx="1">
                  <c:v>48.72</c:v>
                </c:pt>
                <c:pt idx="2">
                  <c:v>51.173999999999999</c:v>
                </c:pt>
                <c:pt idx="3">
                  <c:v>43.414000000000001</c:v>
                </c:pt>
                <c:pt idx="4">
                  <c:v>37.932000000000002</c:v>
                </c:pt>
                <c:pt idx="5">
                  <c:v>47.042999999999999</c:v>
                </c:pt>
                <c:pt idx="6">
                  <c:v>56.66</c:v>
                </c:pt>
                <c:pt idx="7">
                  <c:v>62.811</c:v>
                </c:pt>
                <c:pt idx="8">
                  <c:v>57.737000000000002</c:v>
                </c:pt>
                <c:pt idx="9">
                  <c:v>62.4</c:v>
                </c:pt>
                <c:pt idx="10">
                  <c:v>64.069999999999993</c:v>
                </c:pt>
                <c:pt idx="11">
                  <c:v>61.906999999999996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6D-4555-A083-D9C446FC3831}"/>
            </c:ext>
          </c:extLst>
        </c:ser>
        <c:ser>
          <c:idx val="8"/>
          <c:order val="8"/>
          <c:tx>
            <c:strRef>
              <c:f>'Figure 2'!$J$2</c:f>
              <c:strCache>
                <c:ptCount val="1"/>
                <c:pt idx="0">
                  <c:v>Yellow grease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'Figure 2'!$A$3:$A$14</c:f>
              <c:strCache>
                <c:ptCount val="12"/>
                <c:pt idx="0">
                  <c:v>Oct. 2021</c:v>
                </c:pt>
                <c:pt idx="1">
                  <c:v>Nov. 2021</c:v>
                </c:pt>
                <c:pt idx="2">
                  <c:v>Dec. 2021</c:v>
                </c:pt>
                <c:pt idx="3">
                  <c:v>Jan. 2022</c:v>
                </c:pt>
                <c:pt idx="4">
                  <c:v>Feb. 2022</c:v>
                </c:pt>
                <c:pt idx="5">
                  <c:v>Mar. 2022</c:v>
                </c:pt>
                <c:pt idx="6">
                  <c:v>Apr. 2022</c:v>
                </c:pt>
                <c:pt idx="7">
                  <c:v>May 2022</c:v>
                </c:pt>
                <c:pt idx="8">
                  <c:v>Jun. 2022</c:v>
                </c:pt>
                <c:pt idx="9">
                  <c:v>Jul. 2022</c:v>
                </c:pt>
                <c:pt idx="10">
                  <c:v>Aug. 2022</c:v>
                </c:pt>
                <c:pt idx="11">
                  <c:v>Sep. 2022</c:v>
                </c:pt>
              </c:strCache>
            </c:strRef>
          </c:cat>
          <c:val>
            <c:numRef>
              <c:f>'Figure 2'!$J$3:$J$14</c:f>
              <c:numCache>
                <c:formatCode>#,##0</c:formatCode>
                <c:ptCount val="12"/>
                <c:pt idx="0">
                  <c:v>320.89499999999998</c:v>
                </c:pt>
                <c:pt idx="1">
                  <c:v>346.80399999999997</c:v>
                </c:pt>
                <c:pt idx="2">
                  <c:v>367.79199999999997</c:v>
                </c:pt>
                <c:pt idx="3">
                  <c:v>364.40699999999998</c:v>
                </c:pt>
                <c:pt idx="4">
                  <c:v>305.899</c:v>
                </c:pt>
                <c:pt idx="5">
                  <c:v>337.86500000000001</c:v>
                </c:pt>
                <c:pt idx="6">
                  <c:v>402.23500000000001</c:v>
                </c:pt>
                <c:pt idx="7">
                  <c:v>467.03699999999998</c:v>
                </c:pt>
                <c:pt idx="8">
                  <c:v>424.99400000000003</c:v>
                </c:pt>
                <c:pt idx="9">
                  <c:v>449.32900000000001</c:v>
                </c:pt>
                <c:pt idx="10">
                  <c:v>384.31599999999997</c:v>
                </c:pt>
                <c:pt idx="11">
                  <c:v>438.00599999999997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6D-4555-A083-D9C446FC3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63151"/>
        <c:axId val="133749007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Month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94050743657043"/>
              <c:y val="0.78479851476898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35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gallons</a:t>
                </a:r>
              </a:p>
            </c:rich>
          </c:tx>
          <c:layout>
            <c:manualLayout>
              <c:xMode val="edge"/>
              <c:yMode val="edge"/>
              <c:x val="1.8051349350561949E-3"/>
              <c:y val="9.30248302295546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25"/>
      </c:valAx>
      <c:valAx>
        <c:axId val="133749007"/>
        <c:scaling>
          <c:orientation val="minMax"/>
          <c:max val="1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pounds</a:t>
                </a:r>
              </a:p>
            </c:rich>
          </c:tx>
          <c:layout>
            <c:manualLayout>
              <c:xMode val="edge"/>
              <c:yMode val="edge"/>
              <c:x val="0.86639965677367248"/>
              <c:y val="9.62173999083447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63151"/>
        <c:crosses val="max"/>
        <c:crossBetween val="between"/>
        <c:majorUnit val="100"/>
      </c:valAx>
      <c:catAx>
        <c:axId val="1337631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749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565027929201159"/>
          <c:y val="9.7035526809148856E-2"/>
          <c:w val="0.6352594387240057"/>
          <c:h val="0.1069728263133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3</a:t>
            </a:r>
          </a:p>
          <a:p>
            <a:pPr algn="l">
              <a:defRPr sz="1100"/>
            </a:pPr>
            <a:endParaRPr lang="en-US" sz="1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Vegetable oils, fats, and greases consumed for production of U.S. biofuels in 2021/22</a:t>
            </a:r>
          </a:p>
          <a:p>
            <a:pPr algn="l">
              <a:defRPr sz="1100"/>
            </a:pPr>
            <a:endParaRPr lang="en-US" sz="3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9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= 22.7 billion pounds</a:t>
            </a:r>
            <a:endParaRPr lang="en-US" sz="9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7.4860353994212264E-3"/>
          <c:y val="1.366183393742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054091796217781"/>
          <c:y val="0.16117178061075699"/>
          <c:w val="0.73509136516163331"/>
          <c:h val="0.6325245741341154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"/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CC3-48F0-9342-86862F7EF805}"/>
              </c:ext>
            </c:extLst>
          </c:dPt>
          <c:dPt>
            <c:idx val="1"/>
            <c:bubble3D val="0"/>
            <c:spPr>
              <a:solidFill>
                <a:srgbClr val="F79646">
                  <a:lumMod val="75000"/>
                </a:srgb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CC3-48F0-9342-86862F7EF805}"/>
              </c:ext>
            </c:extLst>
          </c:dPt>
          <c:dPt>
            <c:idx val="2"/>
            <c:bubble3D val="0"/>
            <c:spPr>
              <a:solidFill>
                <a:srgbClr val="FFCF0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CC3-48F0-9342-86862F7EF805}"/>
              </c:ext>
            </c:extLst>
          </c:dPt>
          <c:dPt>
            <c:idx val="3"/>
            <c:bubble3D val="0"/>
            <c:spPr>
              <a:solidFill>
                <a:srgbClr val="C0504D">
                  <a:lumMod val="75000"/>
                </a:srgb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CC3-48F0-9342-86862F7EF8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CC3-48F0-9342-86862F7EF805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9CC3-48F0-9342-86862F7EF805}"/>
              </c:ext>
            </c:extLst>
          </c:dPt>
          <c:dPt>
            <c:idx val="6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9CC3-48F0-9342-86862F7EF80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9CC3-48F0-9342-86862F7EF80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9CC3-48F0-9342-86862F7EF80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9CC3-48F0-9342-86862F7EF80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9CC3-48F0-9342-86862F7EF80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F0A0B39-5C37-4311-A77D-41F33649C5C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CB38728-4571-4B9B-9791-CA25C0EAD88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CC3-48F0-9342-86862F7EF80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ED2FB9D-331C-4A0D-A3A3-F41CE781548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663297A-3BB2-4AE5-9E39-2F2AAE78D05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CC3-48F0-9342-86862F7EF80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5A34340-3F19-43A7-96FB-A7CBDFF06D4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6741D60-C487-4D35-9EFB-1E91142A054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CC3-48F0-9342-86862F7EF80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51DEF69-9D7A-462F-8C4C-DEBA2148334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AD95A09-B4FC-4C0D-B6AE-114D0D643EA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CC3-48F0-9342-86862F7EF80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790B8E2-27B2-40FA-9E17-5AABD11D749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4EF6B24-F330-48E3-AA64-45C1E16D081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CC3-48F0-9342-86862F7EF80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71C3485-B152-4FBC-B3ED-6016A400079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B8AEE9B-858F-400A-959B-A18F30B757A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CC3-48F0-9342-86862F7EF80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8D257FA-11B4-4916-881A-0F6F5209ADE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0618BA2-4C01-4EAD-91A2-23570E78474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CC3-48F0-9342-86862F7EF805}"/>
                </c:ext>
              </c:extLst>
            </c:dLbl>
            <c:dLbl>
              <c:idx val="7"/>
              <c:layout>
                <c:manualLayout>
                  <c:x val="1.3823050599687659E-2"/>
                  <c:y val="1.3149606299212583E-2"/>
                </c:manualLayout>
              </c:layout>
              <c:tx>
                <c:rich>
                  <a:bodyPr/>
                  <a:lstStyle/>
                  <a:p>
                    <a:fld id="{1D0F1000-8170-45CF-92F0-A1EA9E68FD0D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105000B6-8E10-4F1C-9F42-9640AFA38E8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9CC3-48F0-9342-86862F7EF805}"/>
                </c:ext>
              </c:extLst>
            </c:dLbl>
            <c:dLbl>
              <c:idx val="8"/>
              <c:layout>
                <c:manualLayout>
                  <c:x val="0.12854064919100303"/>
                  <c:y val="9.5427409809067977E-3"/>
                </c:manualLayout>
              </c:layout>
              <c:tx>
                <c:rich>
                  <a:bodyPr/>
                  <a:lstStyle/>
                  <a:p>
                    <a:fld id="{C165D33E-E56C-46EE-A4E4-6524819B806D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B81ABEF4-670D-4972-9E6E-31C1CA24E2A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9CC3-48F0-9342-86862F7EF8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3'!$B$2:$J$2</c:f>
              <c:strCache>
                <c:ptCount val="9"/>
                <c:pt idx="0">
                  <c:v>Soybean oil</c:v>
                </c:pt>
                <c:pt idx="1">
                  <c:v>Canola oil</c:v>
                </c:pt>
                <c:pt idx="2">
                  <c:v>Corn oil</c:v>
                </c:pt>
                <c:pt idx="3">
                  <c:v>Poultry</c:v>
                </c:pt>
                <c:pt idx="4">
                  <c:v>Tallow</c:v>
                </c:pt>
                <c:pt idx="5">
                  <c:v>White grease</c:v>
                </c:pt>
                <c:pt idx="6">
                  <c:v>Yellow grease</c:v>
                </c:pt>
                <c:pt idx="7">
                  <c:v>Other waste oils, fats, and greases</c:v>
                </c:pt>
                <c:pt idx="8">
                  <c:v>Other recycled feeds and wastes</c:v>
                </c:pt>
              </c:strCache>
            </c:strRef>
          </c:cat>
          <c:val>
            <c:numRef>
              <c:f>'Figure 3'!$B$3:$J$3</c:f>
              <c:numCache>
                <c:formatCode>0%</c:formatCode>
                <c:ptCount val="9"/>
                <c:pt idx="0">
                  <c:v>0.45600000000000002</c:v>
                </c:pt>
                <c:pt idx="1">
                  <c:v>5.7000000000000002E-2</c:v>
                </c:pt>
                <c:pt idx="2">
                  <c:v>0.13300000000000001</c:v>
                </c:pt>
                <c:pt idx="3">
                  <c:v>7.0000000000000001E-3</c:v>
                </c:pt>
                <c:pt idx="4">
                  <c:v>7.5999999999999998E-2</c:v>
                </c:pt>
                <c:pt idx="5">
                  <c:v>2.9000000000000001E-2</c:v>
                </c:pt>
                <c:pt idx="6">
                  <c:v>0.20300000000000001</c:v>
                </c:pt>
                <c:pt idx="7" formatCode="0.0%">
                  <c:v>4.0000000000000001E-3</c:v>
                </c:pt>
                <c:pt idx="8">
                  <c:v>3.5000000000000003E-2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3'!$B$2:$H$2</c15:f>
                <c15:dlblRangeCache>
                  <c:ptCount val="7"/>
                  <c:pt idx="0">
                    <c:v>Soybean oil</c:v>
                  </c:pt>
                  <c:pt idx="1">
                    <c:v>Canola oil</c:v>
                  </c:pt>
                  <c:pt idx="2">
                    <c:v>Corn oil</c:v>
                  </c:pt>
                  <c:pt idx="3">
                    <c:v>Poultry</c:v>
                  </c:pt>
                  <c:pt idx="4">
                    <c:v>Tallow</c:v>
                  </c:pt>
                  <c:pt idx="5">
                    <c:v>White grease</c:v>
                  </c:pt>
                  <c:pt idx="6">
                    <c:v>Yellow grease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9CC3-48F0-9342-86862F7EF80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solidFill>
                  <a:schemeClr val="tx1"/>
                </a:solidFill>
                <a:effectLst/>
              </a:rPr>
              <a:t>Figure 4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baseline="0">
              <a:solidFill>
                <a:schemeClr val="tx1"/>
              </a:solidFill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100" b="1" i="0" baseline="0">
                <a:effectLst/>
              </a:rPr>
              <a:t>Global sunflowerseed supply and demand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6.7196668559530567E-3"/>
          <c:y val="2.39164344934166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294403416964173E-2"/>
          <c:y val="0.18454732534361881"/>
          <c:w val="0.83436990530368726"/>
          <c:h val="0.54874180846264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4'!$B$1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'Figure 4'!$A$2:$A$12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Nov.*</c:v>
                </c:pt>
                <c:pt idx="10">
                  <c:v>2022/23 Dec.*</c:v>
                </c:pt>
              </c:strCache>
            </c:strRef>
          </c:cat>
          <c:val>
            <c:numRef>
              <c:f>'Figure 4'!$B$2:$B$12</c:f>
              <c:numCache>
                <c:formatCode>#,##0.0_);\(#,##0.0\)</c:formatCode>
                <c:ptCount val="11"/>
                <c:pt idx="0">
                  <c:v>46.058</c:v>
                </c:pt>
                <c:pt idx="1">
                  <c:v>44.212000000000003</c:v>
                </c:pt>
                <c:pt idx="2">
                  <c:v>45.829000000000001</c:v>
                </c:pt>
                <c:pt idx="3">
                  <c:v>53.682000000000002</c:v>
                </c:pt>
                <c:pt idx="4">
                  <c:v>53.92</c:v>
                </c:pt>
                <c:pt idx="5">
                  <c:v>56.423999999999999</c:v>
                </c:pt>
                <c:pt idx="6">
                  <c:v>60.191000000000003</c:v>
                </c:pt>
                <c:pt idx="7">
                  <c:v>54.968000000000004</c:v>
                </c:pt>
                <c:pt idx="8">
                  <c:v>63.725000000000001</c:v>
                </c:pt>
                <c:pt idx="9">
                  <c:v>64.218000000000004</c:v>
                </c:pt>
                <c:pt idx="10">
                  <c:v>64.028000000000006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E-4A7B-84BE-46EAC9250B78}"/>
            </c:ext>
          </c:extLst>
        </c:ser>
        <c:ser>
          <c:idx val="1"/>
          <c:order val="1"/>
          <c:tx>
            <c:strRef>
              <c:f>'Figure 4'!$D$1</c:f>
              <c:strCache>
                <c:ptCount val="1"/>
                <c:pt idx="0">
                  <c:v>Crush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4'!$A$2:$A$12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Nov.*</c:v>
                </c:pt>
                <c:pt idx="10">
                  <c:v>2022/23 Dec.*</c:v>
                </c:pt>
              </c:strCache>
            </c:strRef>
          </c:cat>
          <c:val>
            <c:numRef>
              <c:f>'Figure 4'!$D$2:$D$12</c:f>
              <c:numCache>
                <c:formatCode>#,##0.0_);\(#,##0.0\)</c:formatCode>
                <c:ptCount val="11"/>
                <c:pt idx="0">
                  <c:v>36.997</c:v>
                </c:pt>
                <c:pt idx="1">
                  <c:v>35.673999999999999</c:v>
                </c:pt>
                <c:pt idx="2">
                  <c:v>36.795000000000002</c:v>
                </c:pt>
                <c:pt idx="3">
                  <c:v>43.331000000000003</c:v>
                </c:pt>
                <c:pt idx="4">
                  <c:v>44.164999999999999</c:v>
                </c:pt>
                <c:pt idx="5">
                  <c:v>46.518000000000001</c:v>
                </c:pt>
                <c:pt idx="6">
                  <c:v>49.286000000000001</c:v>
                </c:pt>
                <c:pt idx="7">
                  <c:v>45.101999999999997</c:v>
                </c:pt>
                <c:pt idx="8">
                  <c:v>47.243000000000002</c:v>
                </c:pt>
                <c:pt idx="9">
                  <c:v>47.881</c:v>
                </c:pt>
                <c:pt idx="10">
                  <c:v>47.786000000000001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E-4A7B-84BE-46EAC9250B78}"/>
            </c:ext>
          </c:extLst>
        </c:ser>
        <c:ser>
          <c:idx val="2"/>
          <c:order val="3"/>
          <c:tx>
            <c:strRef>
              <c:f>'Figure 4'!$C$1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CF01"/>
            </a:solidFill>
            <a:ln>
              <a:noFill/>
            </a:ln>
            <a:effectLst/>
          </c:spPr>
          <c:invertIfNegative val="0"/>
          <c:val>
            <c:numRef>
              <c:f>'Figure 4'!$C$2:$C$12</c:f>
              <c:numCache>
                <c:formatCode>#,##0.0_);\(#,##0.0\)</c:formatCode>
                <c:ptCount val="11"/>
                <c:pt idx="0">
                  <c:v>2.0099999999999998</c:v>
                </c:pt>
                <c:pt idx="1">
                  <c:v>1.675</c:v>
                </c:pt>
                <c:pt idx="2">
                  <c:v>2.1320000000000001</c:v>
                </c:pt>
                <c:pt idx="3">
                  <c:v>2.6829999999999998</c:v>
                </c:pt>
                <c:pt idx="4">
                  <c:v>2.7559999999999998</c:v>
                </c:pt>
                <c:pt idx="5">
                  <c:v>3.2130000000000001</c:v>
                </c:pt>
                <c:pt idx="6">
                  <c:v>3.6869999999999998</c:v>
                </c:pt>
                <c:pt idx="7">
                  <c:v>2.9</c:v>
                </c:pt>
                <c:pt idx="8">
                  <c:v>3.9220000000000002</c:v>
                </c:pt>
                <c:pt idx="9">
                  <c:v>4.8449999999999998</c:v>
                </c:pt>
                <c:pt idx="10">
                  <c:v>5.3449999999999998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6E-4A7B-84BE-46EAC9250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3"/>
          <c:order val="2"/>
          <c:tx>
            <c:strRef>
              <c:f>'Figure 4'!$E$1</c:f>
              <c:strCache>
                <c:ptCount val="1"/>
                <c:pt idx="0">
                  <c:v>Ending stocks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'Figure 4'!$E$2:$E$12</c:f>
              <c:numCache>
                <c:formatCode>#,##0.0_);\(#,##0.0\)</c:formatCode>
                <c:ptCount val="11"/>
                <c:pt idx="0">
                  <c:v>3.3039999999999998</c:v>
                </c:pt>
                <c:pt idx="1">
                  <c:v>2.968</c:v>
                </c:pt>
                <c:pt idx="2">
                  <c:v>2.835</c:v>
                </c:pt>
                <c:pt idx="3">
                  <c:v>3.5270000000000001</c:v>
                </c:pt>
                <c:pt idx="4">
                  <c:v>2.875</c:v>
                </c:pt>
                <c:pt idx="5">
                  <c:v>2.6880000000000002</c:v>
                </c:pt>
                <c:pt idx="6">
                  <c:v>3.0329999999999999</c:v>
                </c:pt>
                <c:pt idx="7">
                  <c:v>2.6269999999999998</c:v>
                </c:pt>
                <c:pt idx="8">
                  <c:v>7.9960000000000004</c:v>
                </c:pt>
                <c:pt idx="9">
                  <c:v>6.6429999999999998</c:v>
                </c:pt>
                <c:pt idx="10">
                  <c:v>6.048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6E-4A7B-84BE-46EAC9250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659535"/>
        <c:axId val="1773411711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Marketing year</a:t>
                </a:r>
                <a:endParaRPr lang="en-US" baseline="0"/>
              </a:p>
            </c:rich>
          </c:tx>
          <c:layout>
            <c:manualLayout>
              <c:xMode val="edge"/>
              <c:yMode val="edge"/>
              <c:x val="0.43592253268171122"/>
              <c:y val="0.86279661611182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6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1.0508306026964022E-2"/>
              <c:y val="0.11584686577519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</c:valAx>
      <c:valAx>
        <c:axId val="1773411711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6659535"/>
        <c:crosses val="max"/>
        <c:crossBetween val="between"/>
      </c:valAx>
      <c:catAx>
        <c:axId val="1256659535"/>
        <c:scaling>
          <c:orientation val="minMax"/>
        </c:scaling>
        <c:delete val="1"/>
        <c:axPos val="b"/>
        <c:majorTickMark val="out"/>
        <c:minorTickMark val="none"/>
        <c:tickLblPos val="nextTo"/>
        <c:crossAx val="17734117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056927666650364"/>
          <c:y val="0.15766358382259571"/>
          <c:w val="0.68094618607456681"/>
          <c:h val="6.3007572931189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solidFill>
                  <a:schemeClr val="tx1"/>
                </a:solidFill>
                <a:effectLst/>
              </a:rPr>
              <a:t>Figure 5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baseline="0">
              <a:solidFill>
                <a:schemeClr val="tx1"/>
              </a:solidFill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100" b="1" i="0" baseline="0">
                <a:effectLst/>
              </a:rPr>
              <a:t>Indonesian palm oil production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6.7196668559530567E-3"/>
          <c:y val="2.39164344934166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203632154676313E-2"/>
          <c:y val="0.26999097769028868"/>
          <c:w val="0.82815865408128331"/>
          <c:h val="0.48975120297462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5'!$B$1</c:f>
              <c:strCache>
                <c:ptCount val="1"/>
                <c:pt idx="0">
                  <c:v>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5'!$A$2:$A$12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Nov.*</c:v>
                </c:pt>
                <c:pt idx="10">
                  <c:v>2022/23 Dec.*</c:v>
                </c:pt>
              </c:strCache>
            </c:strRef>
          </c:cat>
          <c:val>
            <c:numRef>
              <c:f>'Figure 5'!$B$2:$B$12</c:f>
              <c:numCache>
                <c:formatCode>_(* #,##0_);_(* \(#,##0\);_(* "-"??_);_(@_)</c:formatCode>
                <c:ptCount val="11"/>
                <c:pt idx="0">
                  <c:v>8958</c:v>
                </c:pt>
                <c:pt idx="1">
                  <c:v>9523</c:v>
                </c:pt>
                <c:pt idx="2">
                  <c:v>10198</c:v>
                </c:pt>
                <c:pt idx="3">
                  <c:v>10600</c:v>
                </c:pt>
                <c:pt idx="4">
                  <c:v>11000</c:v>
                </c:pt>
                <c:pt idx="5">
                  <c:v>11300</c:v>
                </c:pt>
                <c:pt idx="6">
                  <c:v>11750</c:v>
                </c:pt>
                <c:pt idx="7">
                  <c:v>11950</c:v>
                </c:pt>
                <c:pt idx="8">
                  <c:v>12300</c:v>
                </c:pt>
                <c:pt idx="9">
                  <c:v>12500</c:v>
                </c:pt>
                <c:pt idx="10">
                  <c:v>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9-42F5-AFD3-7F3C0E68D1BE}"/>
            </c:ext>
          </c:extLst>
        </c:ser>
        <c:ser>
          <c:idx val="1"/>
          <c:order val="1"/>
          <c:tx>
            <c:strRef>
              <c:f>'Figure 5'!$D$1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'Figure 5'!$A$2:$A$12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Nov.*</c:v>
                </c:pt>
                <c:pt idx="10">
                  <c:v>2022/23 Dec.*</c:v>
                </c:pt>
              </c:strCache>
            </c:strRef>
          </c:cat>
          <c:val>
            <c:numRef>
              <c:f>'Figure 5'!$D$2:$D$12</c:f>
              <c:numCache>
                <c:formatCode>_(* #,##0_);_(* \(#,##0\);_(* "-"_);_(@_)</c:formatCode>
                <c:ptCount val="11"/>
                <c:pt idx="0">
                  <c:v>30500</c:v>
                </c:pt>
                <c:pt idx="1">
                  <c:v>33000</c:v>
                </c:pt>
                <c:pt idx="2">
                  <c:v>32000</c:v>
                </c:pt>
                <c:pt idx="3">
                  <c:v>36000</c:v>
                </c:pt>
                <c:pt idx="4">
                  <c:v>39500</c:v>
                </c:pt>
                <c:pt idx="5">
                  <c:v>41500</c:v>
                </c:pt>
                <c:pt idx="6">
                  <c:v>42500</c:v>
                </c:pt>
                <c:pt idx="7">
                  <c:v>43500</c:v>
                </c:pt>
                <c:pt idx="8">
                  <c:v>43200</c:v>
                </c:pt>
                <c:pt idx="9">
                  <c:v>46500</c:v>
                </c:pt>
                <c:pt idx="10">
                  <c:v>45500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9-42F5-AFD3-7F3C0E68D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2"/>
          <c:order val="2"/>
          <c:tx>
            <c:strRef>
              <c:f>'Figure 5'!$C$1</c:f>
              <c:strCache>
                <c:ptCount val="1"/>
                <c:pt idx="0">
                  <c:v>Yield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'Figure 5'!$C$2:$C$12</c:f>
              <c:numCache>
                <c:formatCode>#,##0.00_);\(#,##0.00\)</c:formatCode>
                <c:ptCount val="11"/>
                <c:pt idx="0">
                  <c:v>3.4047778521991514</c:v>
                </c:pt>
                <c:pt idx="1">
                  <c:v>3.4652945500367531</c:v>
                </c:pt>
                <c:pt idx="2">
                  <c:v>3.1378701706216905</c:v>
                </c:pt>
                <c:pt idx="3">
                  <c:v>3.3962264150943398</c:v>
                </c:pt>
                <c:pt idx="4">
                  <c:v>3.5909090909090908</c:v>
                </c:pt>
                <c:pt idx="5">
                  <c:v>3.6725663716814161</c:v>
                </c:pt>
                <c:pt idx="6">
                  <c:v>3.6170212765957448</c:v>
                </c:pt>
                <c:pt idx="7">
                  <c:v>3.6401673640167362</c:v>
                </c:pt>
                <c:pt idx="8">
                  <c:v>3.5121951219512195</c:v>
                </c:pt>
                <c:pt idx="9">
                  <c:v>3.72</c:v>
                </c:pt>
                <c:pt idx="10">
                  <c:v>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69-42F5-AFD3-7F3C0E68D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626671"/>
        <c:axId val="548629999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Marketing year</a:t>
                </a:r>
                <a:endParaRPr lang="en-US" baseline="0"/>
              </a:p>
            </c:rich>
          </c:tx>
          <c:layout>
            <c:manualLayout>
              <c:xMode val="edge"/>
              <c:yMode val="edge"/>
              <c:x val="0.43592253268171122"/>
              <c:y val="0.86279661611182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6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Thousand metric tons </a:t>
                </a:r>
              </a:p>
              <a:p>
                <a:pPr algn="l">
                  <a:defRPr/>
                </a:pPr>
                <a:r>
                  <a:rPr lang="en-US" sz="900" baseline="0"/>
                  <a:t>and Thousand hectares</a:t>
                </a:r>
              </a:p>
            </c:rich>
          </c:tx>
          <c:layout>
            <c:manualLayout>
              <c:xMode val="edge"/>
              <c:yMode val="edge"/>
              <c:x val="1.8789879525928824E-2"/>
              <c:y val="0.11599409448818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</c:valAx>
      <c:valAx>
        <c:axId val="548629999"/>
        <c:scaling>
          <c:orientation val="minMax"/>
          <c:min val="2"/>
        </c:scaling>
        <c:delete val="0"/>
        <c:axPos val="r"/>
        <c:numFmt formatCode="#,##0.0_);\(#,##0.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8626671"/>
        <c:crosses val="max"/>
        <c:crossBetween val="between"/>
      </c:valAx>
      <c:catAx>
        <c:axId val="5486266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86299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096265140770444"/>
          <c:y val="0.14192147856517934"/>
          <c:w val="0.5045165747453374"/>
          <c:h val="0.11608457769417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182878</xdr:colOff>
      <xdr:row>0</xdr:row>
      <xdr:rowOff>105409</xdr:rowOff>
    </xdr:from>
    <xdr:to>
      <xdr:col>17</xdr:col>
      <xdr:colOff>30478</xdr:colOff>
      <xdr:row>24</xdr:row>
      <xdr:rowOff>34924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F679F7-5236-4279-BEBE-E9C87B9E2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0.86957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162300"/>
          <a:ext cx="6709410" cy="474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Research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Production,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database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December 2022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0.76763</cdr:x>
      <cdr:y>0.13096</cdr:y>
    </cdr:from>
    <cdr:to>
      <cdr:x>1</cdr:x>
      <cdr:y>0.19345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CDE19E9-2814-4FAA-BB29-D9B4C68256A8}"/>
            </a:ext>
          </a:extLst>
        </cdr:cNvPr>
        <cdr:cNvSpPr/>
      </cdr:nvSpPr>
      <cdr:spPr>
        <a:xfrm xmlns:a="http://schemas.openxmlformats.org/drawingml/2006/main">
          <a:off x="4562475" y="502944"/>
          <a:ext cx="1381125" cy="240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Metric tons</a:t>
          </a:r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per hectare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0.91213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605531"/>
          <a:ext cx="6096000" cy="34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Export Sales,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December 9, 2022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68579</xdr:colOff>
      <xdr:row>0</xdr:row>
      <xdr:rowOff>0</xdr:rowOff>
    </xdr:from>
    <xdr:to>
      <xdr:col>20</xdr:col>
      <xdr:colOff>541019</xdr:colOff>
      <xdr:row>22</xdr:row>
      <xdr:rowOff>116205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EF09360-D056-4AFD-8AE5-41C4A0055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0.82093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152775"/>
          <a:ext cx="5943600" cy="687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Included feedstocks account for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97–99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percent of biofuel production. Poultry waste and other animal feedstock categories are excluded.</a:t>
          </a:r>
        </a:p>
        <a:p xmlns:a="http://schemas.openxmlformats.org/drawingml/2006/main">
          <a:r>
            <a:rPr lang="en-US" sz="3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en-US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U.S.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Department of Energy, U.S. Energy Information Administration,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Monthly Energy Review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Feedstocks consumed for production of biofuels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December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302893</xdr:colOff>
      <xdr:row>5</xdr:row>
      <xdr:rowOff>139065</xdr:rowOff>
    </xdr:from>
    <xdr:to>
      <xdr:col>9</xdr:col>
      <xdr:colOff>45718</xdr:colOff>
      <xdr:row>29</xdr:row>
      <xdr:rowOff>93345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64C51860-44BF-4A2B-832C-ED910B314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0.00109</cdr:x>
      <cdr:y>0.7902</cdr:y>
    </cdr:from>
    <cdr:to>
      <cdr:x>0.99712</cdr:x>
      <cdr:y>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F93A74A-6ABF-4BFB-9669-1E205E5DACBB}"/>
            </a:ext>
          </a:extLst>
        </cdr:cNvPr>
        <cdr:cNvSpPr/>
      </cdr:nvSpPr>
      <cdr:spPr>
        <a:xfrm xmlns:a="http://schemas.openxmlformats.org/drawingml/2006/main">
          <a:off x="6562" y="3070860"/>
          <a:ext cx="5995901" cy="815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EIA withheld canola oil consumption for biofuel production data in February and March 2022 to avoid disclosure of company information. As a result, the percentage was calculated using the official USDA projection.</a:t>
          </a:r>
        </a:p>
        <a:p xmlns:a="http://schemas.openxmlformats.org/drawingml/2006/main">
          <a:endParaRPr lang="en-US" sz="30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U.S. Department of Energy, U.S. Energy Information Administration (EIA)</a:t>
          </a:r>
          <a:r>
            <a:rPr lang="en-US" sz="9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Monthly Energy Review</a:t>
          </a:r>
          <a:r>
            <a:rPr lang="en-US" sz="9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USDA, Foreign Agricultural Statistics Service, </a:t>
          </a:r>
          <a:r>
            <a:rPr lang="en-US" sz="900" b="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 </a:t>
          </a:r>
          <a:r>
            <a:rPr lang="en-US" sz="9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database, December 2022.</a:t>
          </a:r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0</xdr:row>
      <xdr:rowOff>66675</xdr:rowOff>
    </xdr:from>
    <xdr:to>
      <xdr:col>15</xdr:col>
      <xdr:colOff>236220</xdr:colOff>
      <xdr:row>21</xdr:row>
      <xdr:rowOff>36195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1CF4261-427F-4C32-9C22-6339D4E7C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0.86957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162300"/>
          <a:ext cx="6709410" cy="474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Research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Production,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database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December 2022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0.78665</cdr:x>
      <cdr:y>0.07677</cdr:y>
    </cdr:from>
    <cdr:to>
      <cdr:x>1</cdr:x>
      <cdr:y>0.17756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CDE19E9-2814-4FAA-BB29-D9B4C68256A8}"/>
            </a:ext>
          </a:extLst>
        </cdr:cNvPr>
        <cdr:cNvSpPr/>
      </cdr:nvSpPr>
      <cdr:spPr>
        <a:xfrm xmlns:a="http://schemas.openxmlformats.org/drawingml/2006/main">
          <a:off x="4675533" y="295275"/>
          <a:ext cx="1268067" cy="387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Ending stocks, million metric tons</a:t>
          </a:r>
          <a:endParaRPr lang="en-US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158115</xdr:colOff>
      <xdr:row>0</xdr:row>
      <xdr:rowOff>0</xdr:rowOff>
    </xdr:from>
    <xdr:to>
      <xdr:col>15</xdr:col>
      <xdr:colOff>196215</xdr:colOff>
      <xdr:row>20</xdr:row>
      <xdr:rowOff>137160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AE999A1-B212-4235-A1EC-E16AE45E0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115"/>
      <c r="C1" s="11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115"/>
    </row>
    <row r="5" spans="1:3">
      <c r="A5" s="10" t="s">
        <v>3</v>
      </c>
      <c r="B5" s="4"/>
      <c r="C5" s="115"/>
    </row>
    <row r="6" spans="1:3">
      <c r="A6" s="10" t="s">
        <v>4</v>
      </c>
      <c r="B6" s="4"/>
      <c r="C6" s="115"/>
    </row>
    <row r="7" spans="1:3">
      <c r="A7" s="10" t="s">
        <v>5</v>
      </c>
      <c r="B7" s="4"/>
      <c r="C7" s="115"/>
    </row>
    <row r="8" spans="1:3">
      <c r="A8" s="10" t="s">
        <v>6</v>
      </c>
      <c r="B8" s="4"/>
      <c r="C8" s="115"/>
    </row>
    <row r="9" spans="1:3">
      <c r="A9" s="10" t="s">
        <v>7</v>
      </c>
      <c r="B9" s="4"/>
      <c r="C9" s="115"/>
    </row>
    <row r="10" spans="1:3">
      <c r="A10" s="10" t="s">
        <v>8</v>
      </c>
      <c r="B10" s="4"/>
      <c r="C10" s="115"/>
    </row>
    <row r="11" spans="1:3">
      <c r="A11" s="10" t="s">
        <v>9</v>
      </c>
      <c r="B11" s="4"/>
      <c r="C11" s="115"/>
    </row>
    <row r="12" spans="1:3">
      <c r="A12" s="10" t="s">
        <v>10</v>
      </c>
      <c r="B12" s="4"/>
      <c r="C12" s="115"/>
    </row>
    <row r="13" spans="1:3">
      <c r="A13" s="11" t="s">
        <v>11</v>
      </c>
      <c r="B13" s="4"/>
      <c r="C13" s="115"/>
    </row>
    <row r="14" spans="1:3" ht="13.2">
      <c r="A14" s="115"/>
      <c r="B14" s="115"/>
      <c r="C14" s="115"/>
    </row>
    <row r="15" spans="1:3">
      <c r="A15" s="7" t="s">
        <v>12</v>
      </c>
      <c r="B15" s="116"/>
      <c r="C15" s="115"/>
    </row>
    <row r="16" spans="1:3">
      <c r="A16" s="9">
        <v>44908</v>
      </c>
      <c r="B16" s="115"/>
      <c r="C16" s="11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B3ED-809B-4469-864B-4C0895CEA37B}">
  <dimension ref="A1:L16"/>
  <sheetViews>
    <sheetView zoomScaleNormal="100" workbookViewId="0"/>
  </sheetViews>
  <sheetFormatPr defaultColWidth="9.109375" defaultRowHeight="13.2"/>
  <cols>
    <col min="1" max="1" width="9.44140625" style="127" bestFit="1" customWidth="1"/>
    <col min="2" max="2" width="9.44140625" style="127" customWidth="1"/>
    <col min="3" max="3" width="12.6640625" style="127" customWidth="1"/>
    <col min="4" max="4" width="9.88671875" style="127" customWidth="1"/>
    <col min="5" max="16384" width="9.109375" style="127"/>
  </cols>
  <sheetData>
    <row r="1" spans="1:12">
      <c r="A1" s="172"/>
      <c r="B1" s="173" t="s">
        <v>226</v>
      </c>
      <c r="C1" s="174"/>
      <c r="D1" s="174"/>
      <c r="E1" s="173" t="s">
        <v>74</v>
      </c>
      <c r="F1" s="174"/>
      <c r="G1" s="174"/>
      <c r="H1" s="174"/>
      <c r="I1" s="174"/>
      <c r="J1" s="175"/>
    </row>
    <row r="2" spans="1:12" ht="26.4">
      <c r="A2" s="176" t="s">
        <v>227</v>
      </c>
      <c r="B2" s="177" t="s">
        <v>228</v>
      </c>
      <c r="C2" s="178" t="s">
        <v>229</v>
      </c>
      <c r="D2" s="178" t="s">
        <v>230</v>
      </c>
      <c r="E2" s="179" t="s">
        <v>231</v>
      </c>
      <c r="F2" s="180" t="s">
        <v>232</v>
      </c>
      <c r="G2" s="181" t="s">
        <v>233</v>
      </c>
      <c r="H2" s="181" t="s">
        <v>234</v>
      </c>
      <c r="I2" s="181" t="s">
        <v>172</v>
      </c>
      <c r="J2" s="182" t="s">
        <v>235</v>
      </c>
    </row>
    <row r="3" spans="1:12">
      <c r="A3" s="186" t="s">
        <v>157</v>
      </c>
      <c r="B3" s="184">
        <v>145.87200000000001</v>
      </c>
      <c r="C3" s="130">
        <v>85.155000000000001</v>
      </c>
      <c r="D3" s="130">
        <v>8.0190000000000001</v>
      </c>
      <c r="E3" s="187">
        <v>832.42700000000002</v>
      </c>
      <c r="F3" s="188">
        <v>217.39599999999999</v>
      </c>
      <c r="G3" s="189">
        <v>115.738</v>
      </c>
      <c r="H3" s="188">
        <v>140.90899999999999</v>
      </c>
      <c r="I3" s="188">
        <v>67.417000000000002</v>
      </c>
      <c r="J3" s="190">
        <v>320.89499999999998</v>
      </c>
      <c r="L3" s="130"/>
    </row>
    <row r="4" spans="1:12">
      <c r="A4" s="186" t="s">
        <v>158</v>
      </c>
      <c r="B4" s="184">
        <v>141.10300000000001</v>
      </c>
      <c r="C4" s="130">
        <v>94.695999999999998</v>
      </c>
      <c r="D4" s="130">
        <v>9.5329999999999995</v>
      </c>
      <c r="E4" s="187">
        <v>818.01271279999992</v>
      </c>
      <c r="F4" s="188">
        <v>243.87184300000001</v>
      </c>
      <c r="G4" s="189">
        <v>132.672888</v>
      </c>
      <c r="H4" s="188">
        <v>111.976</v>
      </c>
      <c r="I4" s="188">
        <v>48.72</v>
      </c>
      <c r="J4" s="190">
        <v>346.80399999999997</v>
      </c>
      <c r="L4" s="130"/>
    </row>
    <row r="5" spans="1:12">
      <c r="A5" s="186" t="s">
        <v>159</v>
      </c>
      <c r="B5" s="184">
        <v>153.48599999999999</v>
      </c>
      <c r="C5" s="130">
        <v>114.236</v>
      </c>
      <c r="D5" s="130">
        <v>10.944000000000001</v>
      </c>
      <c r="E5" s="187">
        <v>938.34100000000001</v>
      </c>
      <c r="F5" s="188">
        <v>300.82</v>
      </c>
      <c r="G5" s="189">
        <v>126.211</v>
      </c>
      <c r="H5" s="188">
        <v>160.22399999999999</v>
      </c>
      <c r="I5" s="188">
        <v>51.173999999999999</v>
      </c>
      <c r="J5" s="190">
        <v>367.79199999999997</v>
      </c>
      <c r="L5" s="130"/>
    </row>
    <row r="6" spans="1:12">
      <c r="A6" s="186" t="s">
        <v>160</v>
      </c>
      <c r="B6" s="184">
        <v>120.053</v>
      </c>
      <c r="C6" s="130">
        <v>110.562</v>
      </c>
      <c r="D6" s="130">
        <v>12.929</v>
      </c>
      <c r="E6" s="187">
        <v>791.38699999999994</v>
      </c>
      <c r="F6" s="188">
        <v>249.209</v>
      </c>
      <c r="G6" s="189">
        <v>63.920999999999999</v>
      </c>
      <c r="H6" s="188">
        <v>140.52199999999999</v>
      </c>
      <c r="I6" s="188">
        <v>43.414000000000001</v>
      </c>
      <c r="J6" s="190">
        <v>364.40699999999998</v>
      </c>
      <c r="L6" s="130"/>
    </row>
    <row r="7" spans="1:12">
      <c r="A7" s="186" t="s">
        <v>161</v>
      </c>
      <c r="B7" s="184">
        <v>113.836</v>
      </c>
      <c r="C7" s="130">
        <v>96.58</v>
      </c>
      <c r="D7" s="130">
        <v>12.849</v>
      </c>
      <c r="E7" s="187">
        <v>740.60299999999995</v>
      </c>
      <c r="F7" s="188">
        <v>188.44900000000001</v>
      </c>
      <c r="G7" s="191" t="s">
        <v>236</v>
      </c>
      <c r="H7" s="188">
        <v>130.161</v>
      </c>
      <c r="I7" s="188">
        <v>37.932000000000002</v>
      </c>
      <c r="J7" s="190">
        <v>305.899</v>
      </c>
      <c r="L7" s="130"/>
    </row>
    <row r="8" spans="1:12">
      <c r="A8" s="186" t="s">
        <v>162</v>
      </c>
      <c r="B8" s="184">
        <v>132.839</v>
      </c>
      <c r="C8" s="130">
        <v>109.033</v>
      </c>
      <c r="D8" s="130">
        <v>11.704000000000001</v>
      </c>
      <c r="E8" s="187">
        <v>908.29</v>
      </c>
      <c r="F8" s="188">
        <v>212.01</v>
      </c>
      <c r="G8" s="191" t="s">
        <v>236</v>
      </c>
      <c r="H8" s="188">
        <v>127.2</v>
      </c>
      <c r="I8" s="188">
        <v>47.042999999999999</v>
      </c>
      <c r="J8" s="190">
        <v>337.86500000000001</v>
      </c>
      <c r="L8" s="130"/>
    </row>
    <row r="9" spans="1:12">
      <c r="A9" s="186" t="s">
        <v>163</v>
      </c>
      <c r="B9" s="184">
        <v>126.994</v>
      </c>
      <c r="C9" s="130">
        <v>119.155</v>
      </c>
      <c r="D9" s="130">
        <v>13.724</v>
      </c>
      <c r="E9" s="187">
        <v>838.9</v>
      </c>
      <c r="F9" s="188">
        <v>210.94499999999999</v>
      </c>
      <c r="G9" s="189">
        <v>100.935</v>
      </c>
      <c r="H9" s="188">
        <v>129.69200000000001</v>
      </c>
      <c r="I9" s="188">
        <v>56.66</v>
      </c>
      <c r="J9" s="190">
        <v>402.23500000000001</v>
      </c>
      <c r="L9" s="130"/>
    </row>
    <row r="10" spans="1:12">
      <c r="A10" s="186" t="s">
        <v>237</v>
      </c>
      <c r="B10" s="184">
        <v>135.99100000000001</v>
      </c>
      <c r="C10" s="130">
        <v>126.27500000000001</v>
      </c>
      <c r="D10" s="130">
        <v>14.083</v>
      </c>
      <c r="E10" s="187">
        <v>855.57100000000003</v>
      </c>
      <c r="F10" s="188">
        <v>246.16300000000001</v>
      </c>
      <c r="G10" s="189">
        <v>120.535</v>
      </c>
      <c r="H10" s="188">
        <v>161.744</v>
      </c>
      <c r="I10" s="188">
        <v>62.811</v>
      </c>
      <c r="J10" s="190">
        <v>467.03699999999998</v>
      </c>
      <c r="L10" s="130"/>
    </row>
    <row r="11" spans="1:12">
      <c r="A11" s="183" t="s">
        <v>164</v>
      </c>
      <c r="B11" s="184">
        <v>137.238</v>
      </c>
      <c r="C11" s="130">
        <v>123.679</v>
      </c>
      <c r="D11" s="130">
        <v>15.343999999999999</v>
      </c>
      <c r="E11" s="184">
        <v>809.79899999999998</v>
      </c>
      <c r="F11" s="130">
        <v>298.16699999999997</v>
      </c>
      <c r="G11" s="130">
        <v>123.18899999999999</v>
      </c>
      <c r="H11" s="130">
        <v>153.17500000000001</v>
      </c>
      <c r="I11" s="130">
        <v>57.737000000000002</v>
      </c>
      <c r="J11" s="185">
        <v>424.99400000000003</v>
      </c>
      <c r="L11" s="130"/>
    </row>
    <row r="12" spans="1:12">
      <c r="A12" s="183" t="s">
        <v>165</v>
      </c>
      <c r="B12" s="184">
        <v>146.68199999999999</v>
      </c>
      <c r="C12" s="130">
        <v>129.02500000000001</v>
      </c>
      <c r="D12" s="130">
        <v>18.353000000000002</v>
      </c>
      <c r="E12" s="184">
        <v>956.48800000000006</v>
      </c>
      <c r="F12" s="130">
        <v>261.36200000000002</v>
      </c>
      <c r="G12" s="130">
        <v>131.798</v>
      </c>
      <c r="H12" s="130">
        <v>166.97399999999999</v>
      </c>
      <c r="I12" s="130">
        <v>62.4</v>
      </c>
      <c r="J12" s="185">
        <v>449.32900000000001</v>
      </c>
      <c r="L12" s="130"/>
    </row>
    <row r="13" spans="1:12">
      <c r="A13" s="183" t="s">
        <v>166</v>
      </c>
      <c r="B13" s="184">
        <v>147.881</v>
      </c>
      <c r="C13" s="130">
        <v>116.934</v>
      </c>
      <c r="D13" s="130">
        <v>18.722999999999999</v>
      </c>
      <c r="E13" s="184">
        <v>924.71799999999996</v>
      </c>
      <c r="F13" s="130">
        <v>297.709</v>
      </c>
      <c r="G13" s="130">
        <v>132.126</v>
      </c>
      <c r="H13" s="130">
        <v>163.48400000000001</v>
      </c>
      <c r="I13" s="130">
        <v>64.069999999999993</v>
      </c>
      <c r="J13" s="185">
        <v>384.31599999999997</v>
      </c>
      <c r="L13" s="130"/>
    </row>
    <row r="14" spans="1:12">
      <c r="A14" s="192" t="s">
        <v>167</v>
      </c>
      <c r="B14" s="193"/>
      <c r="C14" s="194"/>
      <c r="D14" s="194"/>
      <c r="E14" s="193">
        <v>933.65499999999997</v>
      </c>
      <c r="F14" s="194">
        <v>301.505</v>
      </c>
      <c r="G14" s="194">
        <v>130.81200000000001</v>
      </c>
      <c r="H14" s="194">
        <v>131.16999999999999</v>
      </c>
      <c r="I14" s="194">
        <v>61.906999999999996</v>
      </c>
      <c r="J14" s="195">
        <v>438.00599999999997</v>
      </c>
      <c r="L14" s="130"/>
    </row>
    <row r="16" spans="1:12">
      <c r="A16" s="196" t="s">
        <v>238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A6EEA-F57F-414A-9492-AC78704391AA}">
  <dimension ref="A1:M33"/>
  <sheetViews>
    <sheetView workbookViewId="0">
      <selection sqref="A1:A3"/>
    </sheetView>
  </sheetViews>
  <sheetFormatPr defaultRowHeight="13.2"/>
  <cols>
    <col min="1" max="1" width="22.6640625" customWidth="1"/>
    <col min="2" max="2" width="8.77734375" bestFit="1" customWidth="1"/>
    <col min="3" max="3" width="7.21875" bestFit="1" customWidth="1"/>
    <col min="4" max="4" width="7.88671875" bestFit="1" customWidth="1"/>
    <col min="10" max="10" width="25.21875" bestFit="1" customWidth="1"/>
    <col min="11" max="11" width="16.6640625" customWidth="1"/>
  </cols>
  <sheetData>
    <row r="1" spans="1:13" ht="66" customHeight="1">
      <c r="A1" s="217" t="s">
        <v>244</v>
      </c>
      <c r="B1" s="207" t="s">
        <v>242</v>
      </c>
      <c r="C1" s="208"/>
      <c r="D1" s="208"/>
      <c r="E1" s="207" t="s">
        <v>241</v>
      </c>
      <c r="F1" s="209"/>
      <c r="G1" s="209"/>
      <c r="H1" s="209"/>
      <c r="I1" s="210"/>
      <c r="J1" s="216" t="s">
        <v>243</v>
      </c>
    </row>
    <row r="2" spans="1:13" ht="66">
      <c r="A2" s="218"/>
      <c r="B2" s="220" t="s">
        <v>231</v>
      </c>
      <c r="C2" s="221" t="s">
        <v>233</v>
      </c>
      <c r="D2" s="221" t="s">
        <v>232</v>
      </c>
      <c r="E2" s="222" t="s">
        <v>170</v>
      </c>
      <c r="F2" s="223" t="s">
        <v>171</v>
      </c>
      <c r="G2" s="223" t="s">
        <v>172</v>
      </c>
      <c r="H2" s="223" t="s">
        <v>235</v>
      </c>
      <c r="I2" s="224" t="s">
        <v>240</v>
      </c>
      <c r="J2" s="225" t="s">
        <v>239</v>
      </c>
    </row>
    <row r="3" spans="1:13" ht="13.8" thickBot="1">
      <c r="A3" s="219"/>
      <c r="B3" s="212">
        <v>0.45600000000000002</v>
      </c>
      <c r="C3" s="213">
        <v>5.7000000000000002E-2</v>
      </c>
      <c r="D3" s="213">
        <v>0.13300000000000001</v>
      </c>
      <c r="E3" s="212">
        <v>7.0000000000000001E-3</v>
      </c>
      <c r="F3" s="213">
        <v>7.5999999999999998E-2</v>
      </c>
      <c r="G3" s="213">
        <v>2.9000000000000001E-2</v>
      </c>
      <c r="H3" s="213">
        <v>0.20300000000000001</v>
      </c>
      <c r="I3" s="214">
        <v>4.0000000000000001E-3</v>
      </c>
      <c r="J3" s="215">
        <v>3.5000000000000003E-2</v>
      </c>
      <c r="L3" s="211"/>
    </row>
    <row r="4" spans="1:13">
      <c r="A4" s="159"/>
      <c r="B4" s="152"/>
      <c r="C4" s="154"/>
      <c r="D4" s="152"/>
      <c r="E4" s="152"/>
      <c r="F4" s="152"/>
      <c r="G4" s="152"/>
    </row>
    <row r="5" spans="1:13">
      <c r="A5" s="153"/>
      <c r="B5" s="198"/>
      <c r="C5" s="155"/>
    </row>
    <row r="6" spans="1:13">
      <c r="A6" s="153"/>
      <c r="B6" s="199"/>
      <c r="C6" s="155"/>
    </row>
    <row r="7" spans="1:13">
      <c r="A7" s="153"/>
      <c r="B7" s="155"/>
      <c r="C7" s="155"/>
      <c r="M7" s="160"/>
    </row>
    <row r="8" spans="1:13">
      <c r="A8" s="153"/>
      <c r="B8" s="155"/>
      <c r="C8" s="155"/>
      <c r="M8" s="160"/>
    </row>
    <row r="9" spans="1:13">
      <c r="A9" s="153"/>
      <c r="B9" s="155"/>
      <c r="C9" s="155"/>
    </row>
    <row r="10" spans="1:13">
      <c r="A10" s="153"/>
      <c r="B10" s="155"/>
      <c r="C10" s="155"/>
    </row>
    <row r="11" spans="1:13">
      <c r="A11" s="156"/>
      <c r="B11" s="155"/>
      <c r="C11" s="155"/>
    </row>
    <row r="12" spans="1:13">
      <c r="A12" s="156"/>
      <c r="B12" s="155"/>
      <c r="C12" s="155"/>
    </row>
    <row r="13" spans="1:13">
      <c r="A13" s="153"/>
      <c r="B13" s="155"/>
      <c r="C13" s="155"/>
    </row>
    <row r="14" spans="1:13">
      <c r="A14" s="153"/>
      <c r="B14" s="155"/>
      <c r="C14" s="155"/>
    </row>
    <row r="15" spans="1:13">
      <c r="A15" s="156"/>
      <c r="B15" s="157"/>
      <c r="C15" s="157"/>
    </row>
    <row r="16" spans="1:13">
      <c r="A16" s="156"/>
      <c r="B16" s="157"/>
      <c r="C16" s="157"/>
    </row>
    <row r="17" spans="1:3">
      <c r="A17" s="156"/>
      <c r="B17" s="157"/>
      <c r="C17" s="157"/>
    </row>
    <row r="18" spans="1:3">
      <c r="A18" s="153"/>
      <c r="B18" s="157"/>
      <c r="C18" s="157"/>
    </row>
    <row r="19" spans="1:3">
      <c r="A19" s="153"/>
      <c r="B19" s="157"/>
      <c r="C19" s="157"/>
    </row>
    <row r="20" spans="1:3">
      <c r="A20" s="153"/>
      <c r="B20" s="153"/>
      <c r="C20" s="153"/>
    </row>
    <row r="21" spans="1:3">
      <c r="A21" s="153"/>
      <c r="B21" s="153"/>
      <c r="C21" s="153"/>
    </row>
    <row r="22" spans="1:3">
      <c r="A22" s="153"/>
      <c r="B22" s="153"/>
      <c r="C22" s="153"/>
    </row>
    <row r="23" spans="1:3">
      <c r="A23" s="153"/>
      <c r="B23" s="153"/>
      <c r="C23" s="153"/>
    </row>
    <row r="24" spans="1:3">
      <c r="A24" s="153"/>
      <c r="B24" s="153"/>
      <c r="C24" s="153"/>
    </row>
    <row r="25" spans="1:3">
      <c r="A25" s="153"/>
      <c r="B25" s="153"/>
      <c r="C25" s="153"/>
    </row>
    <row r="26" spans="1:3">
      <c r="A26" s="153"/>
      <c r="B26" s="153"/>
      <c r="C26" s="153"/>
    </row>
    <row r="27" spans="1:3">
      <c r="A27" s="153"/>
      <c r="B27" s="153"/>
      <c r="C27" s="153"/>
    </row>
    <row r="28" spans="1:3">
      <c r="A28" s="153"/>
      <c r="B28" s="153"/>
      <c r="C28" s="153"/>
    </row>
    <row r="29" spans="1:3">
      <c r="A29" s="153"/>
      <c r="B29" s="153"/>
      <c r="C29" s="153"/>
    </row>
    <row r="30" spans="1:3">
      <c r="A30" s="153"/>
      <c r="B30" s="153"/>
      <c r="C30" s="153"/>
    </row>
    <row r="31" spans="1:3">
      <c r="A31" s="153"/>
      <c r="B31" s="153"/>
      <c r="C31" s="153"/>
    </row>
    <row r="32" spans="1:3">
      <c r="A32" s="153"/>
      <c r="B32" s="153"/>
      <c r="C32" s="153"/>
    </row>
    <row r="33" spans="1:3">
      <c r="A33" s="153"/>
      <c r="B33" s="153"/>
      <c r="C33" s="153"/>
    </row>
  </sheetData>
  <mergeCells count="1">
    <mergeCell ref="A1:A3"/>
  </mergeCells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3197-74D0-4193-9F80-8E985EEC012C}">
  <dimension ref="A1:E49"/>
  <sheetViews>
    <sheetView zoomScaleNormal="100" workbookViewId="0"/>
  </sheetViews>
  <sheetFormatPr defaultColWidth="8.88671875" defaultRowHeight="13.2"/>
  <cols>
    <col min="1" max="1" width="12.33203125" style="139" customWidth="1"/>
    <col min="2" max="2" width="16" style="139" customWidth="1"/>
    <col min="3" max="3" width="12.33203125" style="139" customWidth="1"/>
    <col min="4" max="4" width="23.109375" style="139" customWidth="1"/>
    <col min="5" max="5" width="15.88671875" style="139" customWidth="1"/>
    <col min="6" max="16384" width="8.88671875" style="139"/>
  </cols>
  <sheetData>
    <row r="1" spans="1:5" ht="26.4">
      <c r="A1" s="137" t="s">
        <v>155</v>
      </c>
      <c r="B1" s="138" t="s">
        <v>245</v>
      </c>
      <c r="C1" s="138" t="s">
        <v>30</v>
      </c>
      <c r="D1" s="138" t="s">
        <v>21</v>
      </c>
      <c r="E1" s="138" t="s">
        <v>246</v>
      </c>
    </row>
    <row r="2" spans="1:5">
      <c r="A2" s="226" t="s">
        <v>111</v>
      </c>
      <c r="B2" s="227">
        <v>46.058</v>
      </c>
      <c r="C2" s="227">
        <v>2.0099999999999998</v>
      </c>
      <c r="D2" s="228">
        <v>36.997</v>
      </c>
      <c r="E2" s="197">
        <v>3.3039999999999998</v>
      </c>
    </row>
    <row r="3" spans="1:5">
      <c r="A3" s="226" t="s">
        <v>112</v>
      </c>
      <c r="B3" s="227">
        <v>44.212000000000003</v>
      </c>
      <c r="C3" s="227">
        <v>1.675</v>
      </c>
      <c r="D3" s="228">
        <v>35.673999999999999</v>
      </c>
      <c r="E3" s="197">
        <v>2.968</v>
      </c>
    </row>
    <row r="4" spans="1:5">
      <c r="A4" s="226" t="s">
        <v>113</v>
      </c>
      <c r="B4" s="227">
        <v>45.829000000000001</v>
      </c>
      <c r="C4" s="227">
        <v>2.1320000000000001</v>
      </c>
      <c r="D4" s="228">
        <v>36.795000000000002</v>
      </c>
      <c r="E4" s="197">
        <v>2.835</v>
      </c>
    </row>
    <row r="5" spans="1:5">
      <c r="A5" s="226" t="s">
        <v>114</v>
      </c>
      <c r="B5" s="227">
        <v>53.682000000000002</v>
      </c>
      <c r="C5" s="227">
        <v>2.6829999999999998</v>
      </c>
      <c r="D5" s="228">
        <v>43.331000000000003</v>
      </c>
      <c r="E5" s="197">
        <v>3.5270000000000001</v>
      </c>
    </row>
    <row r="6" spans="1:5">
      <c r="A6" s="226" t="s">
        <v>115</v>
      </c>
      <c r="B6" s="227">
        <v>53.92</v>
      </c>
      <c r="C6" s="227">
        <v>2.7559999999999998</v>
      </c>
      <c r="D6" s="228">
        <v>44.164999999999999</v>
      </c>
      <c r="E6" s="197">
        <v>2.875</v>
      </c>
    </row>
    <row r="7" spans="1:5">
      <c r="A7" s="226" t="s">
        <v>116</v>
      </c>
      <c r="B7" s="227">
        <v>56.423999999999999</v>
      </c>
      <c r="C7" s="227">
        <v>3.2130000000000001</v>
      </c>
      <c r="D7" s="228">
        <v>46.518000000000001</v>
      </c>
      <c r="E7" s="197">
        <v>2.6880000000000002</v>
      </c>
    </row>
    <row r="8" spans="1:5">
      <c r="A8" s="226" t="s">
        <v>117</v>
      </c>
      <c r="B8" s="227">
        <v>60.191000000000003</v>
      </c>
      <c r="C8" s="227">
        <v>3.6869999999999998</v>
      </c>
      <c r="D8" s="228">
        <v>49.286000000000001</v>
      </c>
      <c r="E8" s="197">
        <v>3.0329999999999999</v>
      </c>
    </row>
    <row r="9" spans="1:5">
      <c r="A9" s="226" t="s">
        <v>34</v>
      </c>
      <c r="B9" s="227">
        <v>54.968000000000004</v>
      </c>
      <c r="C9" s="227">
        <v>2.9</v>
      </c>
      <c r="D9" s="228">
        <v>45.101999999999997</v>
      </c>
      <c r="E9" s="197">
        <v>2.6269999999999998</v>
      </c>
    </row>
    <row r="10" spans="1:5">
      <c r="A10" s="226" t="s">
        <v>53</v>
      </c>
      <c r="B10" s="227">
        <v>63.725000000000001</v>
      </c>
      <c r="C10" s="227">
        <v>3.9220000000000002</v>
      </c>
      <c r="D10" s="228">
        <v>47.243000000000002</v>
      </c>
      <c r="E10" s="197">
        <v>7.9960000000000004</v>
      </c>
    </row>
    <row r="11" spans="1:5">
      <c r="A11" s="226" t="s">
        <v>169</v>
      </c>
      <c r="B11" s="227">
        <v>64.218000000000004</v>
      </c>
      <c r="C11" s="227">
        <v>4.8449999999999998</v>
      </c>
      <c r="D11" s="228">
        <v>47.881</v>
      </c>
      <c r="E11" s="197">
        <v>6.6429999999999998</v>
      </c>
    </row>
    <row r="12" spans="1:5">
      <c r="A12" s="226" t="s">
        <v>173</v>
      </c>
      <c r="B12" s="227">
        <v>64.028000000000006</v>
      </c>
      <c r="C12" s="227">
        <v>5.3449999999999998</v>
      </c>
      <c r="D12" s="228">
        <v>47.786000000000001</v>
      </c>
      <c r="E12" s="197">
        <v>6.048</v>
      </c>
    </row>
    <row r="13" spans="1:5">
      <c r="A13" s="141"/>
      <c r="B13" s="161"/>
    </row>
    <row r="14" spans="1:5">
      <c r="A14" s="141"/>
      <c r="B14" s="163"/>
      <c r="C14" s="163"/>
      <c r="D14" s="163"/>
      <c r="E14" s="163"/>
    </row>
    <row r="15" spans="1:5">
      <c r="A15" s="141"/>
      <c r="B15" s="163"/>
      <c r="C15" s="163"/>
      <c r="D15" s="163"/>
      <c r="E15" s="163"/>
    </row>
    <row r="16" spans="1:5">
      <c r="B16" s="163"/>
      <c r="C16" s="163"/>
      <c r="D16" s="163"/>
      <c r="E16" s="163"/>
    </row>
    <row r="17" spans="2:5">
      <c r="B17" s="163"/>
      <c r="C17" s="163"/>
      <c r="D17" s="163"/>
      <c r="E17" s="163"/>
    </row>
    <row r="18" spans="2:5">
      <c r="B18" s="163"/>
      <c r="C18" s="163"/>
      <c r="D18" s="163"/>
      <c r="E18" s="163"/>
    </row>
    <row r="19" spans="2:5">
      <c r="B19" s="163"/>
      <c r="C19" s="163"/>
      <c r="D19" s="163"/>
      <c r="E19" s="163"/>
    </row>
    <row r="20" spans="2:5">
      <c r="B20" s="163"/>
      <c r="C20" s="163"/>
      <c r="D20" s="163"/>
      <c r="E20" s="163"/>
    </row>
    <row r="21" spans="2:5">
      <c r="B21" s="163"/>
      <c r="C21" s="163"/>
      <c r="D21" s="163"/>
      <c r="E21" s="163"/>
    </row>
    <row r="22" spans="2:5">
      <c r="B22" s="163"/>
      <c r="C22" s="163"/>
      <c r="D22" s="163"/>
      <c r="E22" s="163"/>
    </row>
    <row r="23" spans="2:5">
      <c r="B23" s="163"/>
      <c r="C23" s="163"/>
      <c r="D23" s="163"/>
      <c r="E23" s="163"/>
    </row>
    <row r="24" spans="2:5">
      <c r="B24" s="163"/>
      <c r="C24" s="163"/>
      <c r="D24" s="163"/>
      <c r="E24" s="163"/>
    </row>
    <row r="25" spans="2:5">
      <c r="B25" s="162"/>
    </row>
    <row r="26" spans="2:5">
      <c r="B26" s="162"/>
    </row>
    <row r="27" spans="2:5">
      <c r="B27" s="162"/>
    </row>
    <row r="28" spans="2:5">
      <c r="B28" s="162"/>
    </row>
    <row r="29" spans="2:5">
      <c r="B29" s="162"/>
    </row>
    <row r="30" spans="2:5">
      <c r="B30" s="162"/>
    </row>
    <row r="31" spans="2:5">
      <c r="B31" s="162"/>
    </row>
    <row r="32" spans="2:5">
      <c r="B32" s="162"/>
    </row>
    <row r="33" spans="2:2">
      <c r="B33" s="162"/>
    </row>
    <row r="34" spans="2:2">
      <c r="B34" s="162"/>
    </row>
    <row r="35" spans="2:2">
      <c r="B35" s="162"/>
    </row>
    <row r="36" spans="2:2">
      <c r="B36" s="162"/>
    </row>
    <row r="37" spans="2:2">
      <c r="B37" s="162"/>
    </row>
    <row r="38" spans="2:2">
      <c r="B38" s="162"/>
    </row>
    <row r="39" spans="2:2">
      <c r="B39" s="162"/>
    </row>
    <row r="40" spans="2:2">
      <c r="B40" s="162"/>
    </row>
    <row r="41" spans="2:2">
      <c r="B41" s="162"/>
    </row>
    <row r="42" spans="2:2">
      <c r="B42" s="162"/>
    </row>
    <row r="43" spans="2:2">
      <c r="B43" s="162"/>
    </row>
    <row r="44" spans="2:2">
      <c r="B44" s="162"/>
    </row>
    <row r="45" spans="2:2">
      <c r="B45" s="162"/>
    </row>
    <row r="46" spans="2:2">
      <c r="B46" s="162"/>
    </row>
    <row r="47" spans="2:2">
      <c r="B47" s="162"/>
    </row>
    <row r="48" spans="2:2">
      <c r="B48" s="162"/>
    </row>
    <row r="49" spans="2:2">
      <c r="B49" s="16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195B7-BE89-4B31-9A04-A53561125682}">
  <dimension ref="A1:D49"/>
  <sheetViews>
    <sheetView zoomScaleNormal="100" workbookViewId="0"/>
  </sheetViews>
  <sheetFormatPr defaultColWidth="8.88671875" defaultRowHeight="13.2"/>
  <cols>
    <col min="1" max="1" width="14.33203125" style="139" bestFit="1" customWidth="1"/>
    <col min="2" max="2" width="7.88671875" style="139" bestFit="1" customWidth="1"/>
    <col min="3" max="3" width="5.44140625" style="139" bestFit="1" customWidth="1"/>
    <col min="4" max="4" width="10.6640625" style="139" bestFit="1" customWidth="1"/>
    <col min="5" max="16384" width="8.88671875" style="139"/>
  </cols>
  <sheetData>
    <row r="1" spans="1:4" ht="26.4">
      <c r="A1" s="137" t="s">
        <v>155</v>
      </c>
      <c r="B1" s="138" t="s">
        <v>13</v>
      </c>
      <c r="C1" s="138" t="s">
        <v>14</v>
      </c>
      <c r="D1" s="138" t="s">
        <v>26</v>
      </c>
    </row>
    <row r="2" spans="1:4">
      <c r="A2" s="226" t="s">
        <v>111</v>
      </c>
      <c r="B2" s="229">
        <v>8958</v>
      </c>
      <c r="C2" s="230">
        <f>D2/B2</f>
        <v>3.4047778521991514</v>
      </c>
      <c r="D2" s="143">
        <v>30500</v>
      </c>
    </row>
    <row r="3" spans="1:4">
      <c r="A3" s="226" t="s">
        <v>112</v>
      </c>
      <c r="B3" s="229">
        <v>9523</v>
      </c>
      <c r="C3" s="230">
        <f t="shared" ref="C3:C12" si="0">D3/B3</f>
        <v>3.4652945500367531</v>
      </c>
      <c r="D3" s="143">
        <v>33000</v>
      </c>
    </row>
    <row r="4" spans="1:4">
      <c r="A4" s="226" t="s">
        <v>113</v>
      </c>
      <c r="B4" s="229">
        <v>10198</v>
      </c>
      <c r="C4" s="230">
        <f t="shared" si="0"/>
        <v>3.1378701706216905</v>
      </c>
      <c r="D4" s="143">
        <v>32000</v>
      </c>
    </row>
    <row r="5" spans="1:4">
      <c r="A5" s="226" t="s">
        <v>114</v>
      </c>
      <c r="B5" s="229">
        <v>10600</v>
      </c>
      <c r="C5" s="230">
        <f t="shared" si="0"/>
        <v>3.3962264150943398</v>
      </c>
      <c r="D5" s="143">
        <v>36000</v>
      </c>
    </row>
    <row r="6" spans="1:4">
      <c r="A6" s="226" t="s">
        <v>115</v>
      </c>
      <c r="B6" s="229">
        <v>11000</v>
      </c>
      <c r="C6" s="230">
        <f t="shared" si="0"/>
        <v>3.5909090909090908</v>
      </c>
      <c r="D6" s="143">
        <v>39500</v>
      </c>
    </row>
    <row r="7" spans="1:4">
      <c r="A7" s="226" t="s">
        <v>116</v>
      </c>
      <c r="B7" s="229">
        <v>11300</v>
      </c>
      <c r="C7" s="230">
        <f t="shared" si="0"/>
        <v>3.6725663716814161</v>
      </c>
      <c r="D7" s="143">
        <v>41500</v>
      </c>
    </row>
    <row r="8" spans="1:4">
      <c r="A8" s="226" t="s">
        <v>117</v>
      </c>
      <c r="B8" s="229">
        <v>11750</v>
      </c>
      <c r="C8" s="230">
        <f t="shared" si="0"/>
        <v>3.6170212765957448</v>
      </c>
      <c r="D8" s="143">
        <v>42500</v>
      </c>
    </row>
    <row r="9" spans="1:4">
      <c r="A9" s="226" t="s">
        <v>34</v>
      </c>
      <c r="B9" s="229">
        <v>11950</v>
      </c>
      <c r="C9" s="230">
        <f t="shared" si="0"/>
        <v>3.6401673640167362</v>
      </c>
      <c r="D9" s="143">
        <v>43500</v>
      </c>
    </row>
    <row r="10" spans="1:4">
      <c r="A10" s="226" t="s">
        <v>53</v>
      </c>
      <c r="B10" s="229">
        <v>12300</v>
      </c>
      <c r="C10" s="230">
        <f t="shared" si="0"/>
        <v>3.5121951219512195</v>
      </c>
      <c r="D10" s="143">
        <v>43200</v>
      </c>
    </row>
    <row r="11" spans="1:4">
      <c r="A11" s="226" t="s">
        <v>169</v>
      </c>
      <c r="B11" s="229">
        <v>12500</v>
      </c>
      <c r="C11" s="230">
        <f t="shared" si="0"/>
        <v>3.72</v>
      </c>
      <c r="D11" s="143">
        <v>46500</v>
      </c>
    </row>
    <row r="12" spans="1:4">
      <c r="A12" s="226" t="s">
        <v>173</v>
      </c>
      <c r="B12" s="229">
        <v>12500</v>
      </c>
      <c r="C12" s="230">
        <f t="shared" si="0"/>
        <v>3.64</v>
      </c>
      <c r="D12" s="143">
        <v>45500</v>
      </c>
    </row>
    <row r="13" spans="1:4">
      <c r="A13" s="141"/>
      <c r="B13" s="142"/>
    </row>
    <row r="14" spans="1:4">
      <c r="A14" s="141"/>
      <c r="B14" s="143"/>
    </row>
    <row r="15" spans="1:4">
      <c r="A15" s="141"/>
      <c r="B15" s="150"/>
      <c r="C15" s="147"/>
    </row>
    <row r="16" spans="1:4">
      <c r="B16" s="143"/>
      <c r="C16" s="148"/>
    </row>
    <row r="17" spans="2:3">
      <c r="B17" s="143"/>
      <c r="C17" s="149"/>
    </row>
    <row r="18" spans="2:3">
      <c r="B18" s="143"/>
    </row>
    <row r="19" spans="2:3">
      <c r="B19" s="143"/>
      <c r="C19" s="147"/>
    </row>
    <row r="20" spans="2:3">
      <c r="B20" s="143"/>
      <c r="C20" s="148"/>
    </row>
    <row r="21" spans="2:3">
      <c r="B21" s="143"/>
    </row>
    <row r="22" spans="2:3">
      <c r="B22" s="143"/>
    </row>
    <row r="23" spans="2:3">
      <c r="B23" s="140"/>
    </row>
    <row r="24" spans="2:3">
      <c r="B24" s="140"/>
    </row>
    <row r="25" spans="2:3">
      <c r="B25" s="140"/>
    </row>
    <row r="26" spans="2:3">
      <c r="B26" s="140"/>
    </row>
    <row r="27" spans="2:3">
      <c r="B27" s="140"/>
    </row>
    <row r="28" spans="2:3">
      <c r="B28" s="140"/>
    </row>
    <row r="29" spans="2:3">
      <c r="B29" s="140"/>
    </row>
    <row r="30" spans="2:3">
      <c r="B30" s="140"/>
    </row>
    <row r="31" spans="2:3">
      <c r="B31" s="140"/>
    </row>
    <row r="32" spans="2:3">
      <c r="B32" s="140"/>
    </row>
    <row r="33" spans="2:2">
      <c r="B33" s="140"/>
    </row>
    <row r="34" spans="2:2">
      <c r="B34" s="140"/>
    </row>
    <row r="35" spans="2:2">
      <c r="B35" s="140"/>
    </row>
    <row r="36" spans="2:2">
      <c r="B36" s="140"/>
    </row>
    <row r="37" spans="2:2">
      <c r="B37" s="140"/>
    </row>
    <row r="38" spans="2:2">
      <c r="B38" s="140"/>
    </row>
    <row r="39" spans="2:2">
      <c r="B39" s="140"/>
    </row>
    <row r="40" spans="2:2">
      <c r="B40" s="140"/>
    </row>
    <row r="41" spans="2:2">
      <c r="B41" s="140"/>
    </row>
    <row r="42" spans="2:2">
      <c r="B42" s="140"/>
    </row>
    <row r="43" spans="2:2">
      <c r="B43" s="140"/>
    </row>
    <row r="44" spans="2:2">
      <c r="B44" s="140"/>
    </row>
    <row r="45" spans="2:2">
      <c r="B45" s="140"/>
    </row>
    <row r="46" spans="2:2">
      <c r="B46" s="140"/>
    </row>
    <row r="47" spans="2:2">
      <c r="B47" s="140"/>
    </row>
    <row r="48" spans="2:2">
      <c r="B48" s="140"/>
    </row>
    <row r="49" spans="2:2">
      <c r="B49" s="140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1"/>
  <sheetViews>
    <sheetView showGridLines="0" zoomScale="70" zoomScaleNormal="70" workbookViewId="0"/>
  </sheetViews>
  <sheetFormatPr defaultColWidth="9.109375" defaultRowHeight="13.2"/>
  <cols>
    <col min="1" max="1" width="21.6640625" style="16" customWidth="1"/>
    <col min="2" max="2" width="14.109375" style="16" bestFit="1" customWidth="1"/>
    <col min="3" max="3" width="9.5546875" style="16" customWidth="1"/>
    <col min="4" max="4" width="26.6640625" style="16" customWidth="1"/>
    <col min="5" max="5" width="9.6640625" style="16" customWidth="1"/>
    <col min="6" max="6" width="10.6640625" style="16" customWidth="1"/>
    <col min="7" max="7" width="8.6640625" style="16" bestFit="1" customWidth="1"/>
    <col min="8" max="8" width="9.6640625" style="16" customWidth="1"/>
    <col min="9" max="9" width="1.6640625" style="16" customWidth="1"/>
    <col min="10" max="10" width="9.6640625" style="16" customWidth="1"/>
    <col min="11" max="12" width="10.6640625" style="16" customWidth="1"/>
    <col min="13" max="13" width="10.33203125" style="16" customWidth="1"/>
    <col min="14" max="14" width="9.6640625" style="16" customWidth="1"/>
    <col min="15" max="16" width="9.109375" style="16"/>
    <col min="17" max="17" width="15.44140625" style="16" bestFit="1" customWidth="1"/>
    <col min="18" max="18" width="10.109375" style="16" bestFit="1" customWidth="1"/>
    <col min="19" max="16384" width="9.109375" style="16"/>
  </cols>
  <sheetData>
    <row r="1" spans="1:23" ht="13.8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3" ht="13.8">
      <c r="A2" s="17"/>
      <c r="B2" s="18" t="s">
        <v>13</v>
      </c>
      <c r="C2" s="133"/>
      <c r="D2" s="19" t="s">
        <v>14</v>
      </c>
      <c r="E2" s="20"/>
      <c r="F2" s="133" t="s">
        <v>15</v>
      </c>
      <c r="G2" s="133"/>
      <c r="H2" s="133"/>
      <c r="I2" s="21"/>
      <c r="J2" s="20"/>
      <c r="K2" s="133"/>
      <c r="L2" s="22" t="s">
        <v>16</v>
      </c>
      <c r="M2" s="133"/>
      <c r="N2" s="17"/>
    </row>
    <row r="3" spans="1:23" ht="13.8">
      <c r="A3" s="17" t="s">
        <v>17</v>
      </c>
      <c r="B3" s="19" t="s">
        <v>18</v>
      </c>
      <c r="C3" s="17" t="s">
        <v>19</v>
      </c>
      <c r="D3" s="19"/>
      <c r="E3" s="23" t="s">
        <v>20</v>
      </c>
      <c r="F3" s="23"/>
      <c r="G3" s="23"/>
      <c r="H3" s="23"/>
      <c r="I3" s="23"/>
      <c r="J3" s="19" t="s">
        <v>21</v>
      </c>
      <c r="K3" s="23" t="s">
        <v>22</v>
      </c>
      <c r="L3" s="23"/>
      <c r="M3" s="23"/>
      <c r="N3" s="23" t="s">
        <v>23</v>
      </c>
    </row>
    <row r="4" spans="1:23" ht="13.8">
      <c r="A4" s="24" t="s">
        <v>24</v>
      </c>
      <c r="B4" s="25"/>
      <c r="C4" s="25"/>
      <c r="D4" s="25"/>
      <c r="E4" s="26" t="s">
        <v>25</v>
      </c>
      <c r="F4" s="26" t="s">
        <v>26</v>
      </c>
      <c r="G4" s="27" t="s">
        <v>27</v>
      </c>
      <c r="H4" s="28" t="s">
        <v>28</v>
      </c>
      <c r="I4" s="27"/>
      <c r="J4" s="27"/>
      <c r="K4" s="27" t="s">
        <v>29</v>
      </c>
      <c r="L4" s="28" t="s">
        <v>30</v>
      </c>
      <c r="M4" s="26" t="s">
        <v>28</v>
      </c>
      <c r="N4" s="27" t="s">
        <v>25</v>
      </c>
      <c r="W4" s="29"/>
    </row>
    <row r="5" spans="1:23" ht="14.4">
      <c r="A5" s="17"/>
      <c r="B5" s="30" t="s">
        <v>31</v>
      </c>
      <c r="C5" s="134"/>
      <c r="D5" s="31" t="s">
        <v>32</v>
      </c>
      <c r="G5" s="30"/>
      <c r="I5" s="30"/>
      <c r="J5" s="30" t="s">
        <v>33</v>
      </c>
      <c r="K5" s="30"/>
      <c r="L5" s="30"/>
      <c r="M5" s="30"/>
      <c r="N5" s="30"/>
      <c r="W5" s="29"/>
    </row>
    <row r="6" spans="1:23" ht="16.5" customHeight="1">
      <c r="A6" s="17" t="s">
        <v>34</v>
      </c>
      <c r="B6" s="32">
        <v>83.353999999999999</v>
      </c>
      <c r="C6" s="32">
        <v>82.602999999999994</v>
      </c>
      <c r="D6" s="32">
        <f>F6/C6</f>
        <v>51.042964541239421</v>
      </c>
      <c r="E6" s="33">
        <v>524.54100000000005</v>
      </c>
      <c r="F6" s="34">
        <v>4216.3019999999997</v>
      </c>
      <c r="G6" s="35">
        <v>19.815142646399998</v>
      </c>
      <c r="H6" s="35">
        <f>SUM(E6:G6)</f>
        <v>4760.6581426463999</v>
      </c>
      <c r="I6" s="17"/>
      <c r="J6" s="34">
        <v>2140.5846999999999</v>
      </c>
      <c r="K6" s="34">
        <f t="shared" ref="K6:K8" si="0">M6-L6-J6</f>
        <v>97.272779870399972</v>
      </c>
      <c r="L6" s="35">
        <v>2265.8216627759998</v>
      </c>
      <c r="M6" s="35">
        <f>H6-N6</f>
        <v>4503.6791426463997</v>
      </c>
      <c r="N6" s="35">
        <v>256.97899999999998</v>
      </c>
    </row>
    <row r="7" spans="1:23" ht="16.5" customHeight="1">
      <c r="A7" s="17" t="s">
        <v>35</v>
      </c>
      <c r="B7" s="32">
        <v>87.194999999999993</v>
      </c>
      <c r="C7" s="32">
        <v>86.311999999999998</v>
      </c>
      <c r="D7" s="32">
        <f>F7/C7</f>
        <v>51.735355454629712</v>
      </c>
      <c r="E7" s="33">
        <f>N6</f>
        <v>256.97899999999998</v>
      </c>
      <c r="F7" s="34">
        <f>F27</f>
        <v>4465.3819999999996</v>
      </c>
      <c r="G7" s="35">
        <f>G27</f>
        <v>15.9101740464</v>
      </c>
      <c r="H7" s="35">
        <f>SUM(E7:G7)</f>
        <v>4738.2711740464001</v>
      </c>
      <c r="I7" s="17"/>
      <c r="J7" s="34">
        <f>J27</f>
        <v>2203.8322700661743</v>
      </c>
      <c r="K7" s="34">
        <f t="shared" si="0"/>
        <v>103.03621654982544</v>
      </c>
      <c r="L7" s="35">
        <f>L27</f>
        <v>2157.6466874304001</v>
      </c>
      <c r="M7" s="35">
        <f>H7-N7</f>
        <v>4464.5151740463998</v>
      </c>
      <c r="N7" s="35">
        <f>N26</f>
        <v>273.75599999999997</v>
      </c>
    </row>
    <row r="8" spans="1:23" ht="16.5" customHeight="1">
      <c r="A8" s="17" t="s">
        <v>36</v>
      </c>
      <c r="B8" s="32">
        <v>87.454999999999998</v>
      </c>
      <c r="C8" s="32">
        <v>86.631</v>
      </c>
      <c r="D8" s="32">
        <f>F8/C8</f>
        <v>50.161304844686086</v>
      </c>
      <c r="E8" s="33">
        <f>N7</f>
        <v>273.75599999999997</v>
      </c>
      <c r="F8" s="34">
        <f>4345.524</f>
        <v>4345.5240000000003</v>
      </c>
      <c r="G8" s="35">
        <v>15</v>
      </c>
      <c r="H8" s="35">
        <f>SUM(E8:G8)</f>
        <v>4634.2800000000007</v>
      </c>
      <c r="I8" s="17"/>
      <c r="J8" s="34">
        <v>2245</v>
      </c>
      <c r="K8" s="34">
        <f t="shared" si="0"/>
        <v>124.28000000000065</v>
      </c>
      <c r="L8" s="35">
        <v>2045</v>
      </c>
      <c r="M8" s="35">
        <f>H8-N8</f>
        <v>4414.2800000000007</v>
      </c>
      <c r="N8" s="35">
        <v>220</v>
      </c>
    </row>
    <row r="9" spans="1:23" ht="16.5" customHeight="1">
      <c r="A9" s="21"/>
      <c r="B9" s="21"/>
      <c r="C9" s="21"/>
      <c r="D9" s="21"/>
      <c r="E9" s="36"/>
      <c r="F9" s="36"/>
      <c r="G9" s="37"/>
      <c r="H9" s="36"/>
      <c r="I9" s="36"/>
      <c r="J9" s="37"/>
      <c r="K9" s="37"/>
      <c r="L9" s="37"/>
      <c r="M9" s="37"/>
      <c r="N9" s="37"/>
    </row>
    <row r="10" spans="1:23" ht="16.5" customHeight="1">
      <c r="A10" s="51" t="s">
        <v>53</v>
      </c>
      <c r="B10" s="117"/>
      <c r="C10" s="117"/>
      <c r="D10" s="117"/>
      <c r="E10" s="41"/>
      <c r="F10" s="42"/>
      <c r="G10" s="6"/>
      <c r="H10" s="13"/>
      <c r="I10" s="117"/>
      <c r="J10" s="13"/>
      <c r="K10" s="40"/>
      <c r="L10" s="6"/>
      <c r="M10" s="6"/>
      <c r="N10" s="13"/>
    </row>
    <row r="11" spans="1:23" ht="16.5" customHeight="1">
      <c r="A11" s="21" t="s">
        <v>37</v>
      </c>
      <c r="B11" s="117"/>
      <c r="C11" s="117"/>
      <c r="D11" s="125"/>
      <c r="E11" s="41"/>
      <c r="F11" s="42"/>
      <c r="G11" s="6">
        <f>(24488.6*36.744)/1000000</f>
        <v>0.89980911839999989</v>
      </c>
      <c r="I11" s="117"/>
      <c r="J11" s="13">
        <f>((4924574*0.907185)*36.744)/1000000</f>
        <v>164.15380766099736</v>
      </c>
      <c r="K11" s="40"/>
      <c r="L11" s="6">
        <f>(2098690.6*36.744)/1000000</f>
        <v>77.11428740640001</v>
      </c>
      <c r="M11" s="6"/>
      <c r="N11" s="13"/>
      <c r="Q11" s="125"/>
    </row>
    <row r="12" spans="1:23" ht="16.5" customHeight="1">
      <c r="A12" s="21" t="s">
        <v>38</v>
      </c>
      <c r="B12" s="117"/>
      <c r="C12" s="117"/>
      <c r="D12" s="125"/>
      <c r="E12" s="41"/>
      <c r="F12" s="42"/>
      <c r="G12" s="6">
        <f>(19229.4*36.744)/1000000</f>
        <v>0.70656507359999998</v>
      </c>
      <c r="I12" s="117"/>
      <c r="J12" s="13">
        <f>((5908157*0.907185)*36.744)/1000000</f>
        <v>196.9401754972055</v>
      </c>
      <c r="K12" s="40"/>
      <c r="L12" s="6">
        <f>(10749625.7*36.744)/1000000</f>
        <v>394.9842467208</v>
      </c>
      <c r="M12" s="6"/>
      <c r="N12" s="13"/>
      <c r="Q12" s="125"/>
    </row>
    <row r="13" spans="1:23" ht="16.5" customHeight="1">
      <c r="A13" s="21" t="s">
        <v>39</v>
      </c>
      <c r="B13" s="117"/>
      <c r="C13" s="117"/>
      <c r="D13" s="125"/>
      <c r="E13" s="41"/>
      <c r="F13" s="42"/>
      <c r="G13" s="6">
        <f>(34894.1*36.744)/1000000</f>
        <v>1.2821488103999998</v>
      </c>
      <c r="I13" s="117"/>
      <c r="J13" s="13">
        <f>((5717943*0.907185)*36.744)/1000000</f>
        <v>190.59965703399854</v>
      </c>
      <c r="K13" s="40"/>
      <c r="L13" s="6">
        <f>(10581460.9*36.744)/1000000</f>
        <v>388.80519930959997</v>
      </c>
      <c r="M13" s="6"/>
      <c r="N13" s="13"/>
      <c r="Q13" s="125"/>
    </row>
    <row r="14" spans="1:23" ht="16.5" customHeight="1">
      <c r="A14" s="21" t="s">
        <v>40</v>
      </c>
      <c r="B14" s="117"/>
      <c r="C14" s="117"/>
      <c r="E14" s="41">
        <f>N6</f>
        <v>256.97899999999998</v>
      </c>
      <c r="F14" s="41">
        <f>4465.382</f>
        <v>4465.3819999999996</v>
      </c>
      <c r="G14" s="6">
        <f>SUM(G11:G13)</f>
        <v>2.8885230023999995</v>
      </c>
      <c r="H14" s="13">
        <f>SUM(E14:G14)</f>
        <v>4725.2495230023997</v>
      </c>
      <c r="I14" s="117"/>
      <c r="J14" s="13">
        <f>SUM(J11:J13)</f>
        <v>551.69364019220143</v>
      </c>
      <c r="K14" s="40">
        <f>M14-L14-J14</f>
        <v>161.1281493733984</v>
      </c>
      <c r="L14" s="6">
        <f>SUM(L11:L13)</f>
        <v>860.90373343679994</v>
      </c>
      <c r="M14" s="6">
        <f>H14-N14</f>
        <v>1573.7255230023998</v>
      </c>
      <c r="N14" s="13">
        <v>3151.5239999999999</v>
      </c>
    </row>
    <row r="15" spans="1:23" ht="16.5" customHeight="1">
      <c r="A15" s="17" t="s">
        <v>41</v>
      </c>
      <c r="B15" s="117"/>
      <c r="C15" s="117"/>
      <c r="D15" s="125"/>
      <c r="E15" s="41"/>
      <c r="F15" s="41"/>
      <c r="G15" s="6">
        <f>(27884.8*36.744)/1000000</f>
        <v>1.0245990912</v>
      </c>
      <c r="H15" s="13"/>
      <c r="I15" s="117"/>
      <c r="J15" s="13">
        <f>((5947222*0.907185)*36.744)/1000000</f>
        <v>198.24235280153209</v>
      </c>
      <c r="K15" s="40"/>
      <c r="L15" s="6">
        <f>(7940701.7*36.744)/1000000</f>
        <v>291.77314326480001</v>
      </c>
      <c r="M15" s="6"/>
      <c r="N15" s="13"/>
      <c r="Q15" s="125"/>
    </row>
    <row r="16" spans="1:23" ht="16.5" customHeight="1">
      <c r="A16" s="17" t="s">
        <v>42</v>
      </c>
      <c r="B16" s="117"/>
      <c r="C16" s="117"/>
      <c r="D16" s="125"/>
      <c r="E16" s="41"/>
      <c r="F16" s="41"/>
      <c r="G16" s="6">
        <f>(23947.4*36.744)/1000000</f>
        <v>0.8799232656</v>
      </c>
      <c r="H16" s="13"/>
      <c r="I16" s="117"/>
      <c r="J16" s="13">
        <f>((5828974*0.907185)*36.744)/1000000</f>
        <v>194.30072060181334</v>
      </c>
      <c r="K16" s="40"/>
      <c r="L16" s="6">
        <f>(6392108.3*36.744)/1000000</f>
        <v>234.87162737520001</v>
      </c>
      <c r="M16" s="6"/>
      <c r="N16" s="13"/>
      <c r="Q16" s="125"/>
    </row>
    <row r="17" spans="1:17" ht="16.5" customHeight="1">
      <c r="A17" s="17" t="s">
        <v>43</v>
      </c>
      <c r="B17" s="117"/>
      <c r="C17" s="117"/>
      <c r="D17" s="125"/>
      <c r="E17" s="41"/>
      <c r="F17" s="41"/>
      <c r="G17" s="6">
        <f>(47248.7*36.744)/1000000</f>
        <v>1.7361062327999999</v>
      </c>
      <c r="H17" s="13"/>
      <c r="I17" s="117"/>
      <c r="J17" s="13">
        <f>((5232453*0.907185)*36.744)/1000000</f>
        <v>174.41652483183492</v>
      </c>
      <c r="K17" s="40"/>
      <c r="L17" s="6">
        <f>(3791255.7*36.744)/1000000</f>
        <v>139.3058994408</v>
      </c>
      <c r="M17" s="6"/>
      <c r="N17" s="13"/>
      <c r="Q17" s="125"/>
    </row>
    <row r="18" spans="1:17" ht="16.5" customHeight="1">
      <c r="A18" s="17" t="s">
        <v>44</v>
      </c>
      <c r="B18" s="117"/>
      <c r="C18" s="117"/>
      <c r="E18" s="41">
        <f>N14</f>
        <v>3151.5239999999999</v>
      </c>
      <c r="F18" s="41"/>
      <c r="G18" s="6">
        <f>SUM(G15:G17)</f>
        <v>3.6406285895999999</v>
      </c>
      <c r="H18" s="13">
        <f>E18+F18+G18</f>
        <v>3155.1646285895999</v>
      </c>
      <c r="I18" s="117"/>
      <c r="J18" s="13">
        <f>SUM(J15:J17)</f>
        <v>566.95959823518035</v>
      </c>
      <c r="K18" s="40">
        <f>M18-L18-J18</f>
        <v>-9.0486397263805429</v>
      </c>
      <c r="L18" s="6">
        <f>SUM(L15:L17)</f>
        <v>665.95067008080002</v>
      </c>
      <c r="M18" s="6">
        <f>H18-N18</f>
        <v>1223.8616285895998</v>
      </c>
      <c r="N18" s="13">
        <v>1931.3030000000001</v>
      </c>
    </row>
    <row r="19" spans="1:17" ht="16.5" customHeight="1">
      <c r="A19" s="17" t="s">
        <v>45</v>
      </c>
      <c r="B19" s="117"/>
      <c r="C19" s="117"/>
      <c r="D19" s="125"/>
      <c r="E19" s="41"/>
      <c r="F19" s="41"/>
      <c r="G19" s="6">
        <f>(33665.9*36.744)/1000000</f>
        <v>1.2370198296000001</v>
      </c>
      <c r="H19" s="13"/>
      <c r="I19" s="117"/>
      <c r="J19" s="13">
        <f>((5786159*0.907185)*36.744)/1000000</f>
        <v>192.87354227633676</v>
      </c>
      <c r="K19" s="40"/>
      <c r="L19" s="6">
        <f>(3184420.8*36.744)/1000000</f>
        <v>117.00835787519999</v>
      </c>
      <c r="M19" s="6"/>
      <c r="N19" s="13"/>
      <c r="Q19" s="125"/>
    </row>
    <row r="20" spans="1:17" ht="16.5" customHeight="1">
      <c r="A20" s="17" t="s">
        <v>46</v>
      </c>
      <c r="B20" s="117"/>
      <c r="C20" s="117"/>
      <c r="D20" s="125"/>
      <c r="E20" s="41"/>
      <c r="F20" s="41"/>
      <c r="G20" s="6">
        <f>(49190.6*36.744)/1000000</f>
        <v>1.8074594064</v>
      </c>
      <c r="H20" s="13"/>
      <c r="I20" s="117"/>
      <c r="J20" s="13">
        <f>((5426712*0.907185)*36.744)/1000000</f>
        <v>180.89187772985568</v>
      </c>
      <c r="K20" s="40"/>
      <c r="L20" s="6">
        <f>(3657248.5*36.744)/1000000</f>
        <v>134.38193888399999</v>
      </c>
      <c r="M20" s="6"/>
      <c r="N20" s="13"/>
      <c r="Q20" s="125"/>
    </row>
    <row r="21" spans="1:17" ht="16.5" customHeight="1">
      <c r="A21" s="17" t="s">
        <v>47</v>
      </c>
      <c r="B21" s="117"/>
      <c r="C21" s="117"/>
      <c r="D21" s="125"/>
      <c r="E21" s="41"/>
      <c r="F21" s="41"/>
      <c r="G21" s="6">
        <f>(30553.6*36.744)/1000000</f>
        <v>1.1226614784</v>
      </c>
      <c r="H21" s="13"/>
      <c r="I21" s="117"/>
      <c r="J21" s="13">
        <f>((5427160*0.907185)*36.744)/1000000</f>
        <v>180.90681118518239</v>
      </c>
      <c r="K21" s="40"/>
      <c r="L21" s="6">
        <f>(2413962.6*36.744)/1000000</f>
        <v>88.698641774400002</v>
      </c>
      <c r="M21" s="6"/>
      <c r="N21" s="13"/>
      <c r="Q21" s="125"/>
    </row>
    <row r="22" spans="1:17" ht="16.5" customHeight="1">
      <c r="A22" s="17" t="s">
        <v>48</v>
      </c>
      <c r="B22" s="117"/>
      <c r="C22" s="117"/>
      <c r="E22" s="41">
        <f>N18</f>
        <v>1931.3030000000001</v>
      </c>
      <c r="F22" s="41"/>
      <c r="G22" s="6">
        <f>SUM(G19:G21)</f>
        <v>4.1671407144000003</v>
      </c>
      <c r="H22" s="13">
        <f>E22+F22+G22</f>
        <v>1935.4701407144</v>
      </c>
      <c r="I22" s="117"/>
      <c r="J22" s="13">
        <f>SUM(J19:J21)</f>
        <v>554.67223119137486</v>
      </c>
      <c r="K22" s="40">
        <f>M22-L22-J22</f>
        <v>69.419970989425224</v>
      </c>
      <c r="L22" s="6">
        <f>SUM(L19:L21)</f>
        <v>340.08893853360001</v>
      </c>
      <c r="M22" s="6">
        <f>H22-N22</f>
        <v>964.18114071440004</v>
      </c>
      <c r="N22" s="13">
        <v>971.28899999999999</v>
      </c>
    </row>
    <row r="23" spans="1:17" ht="16.5" customHeight="1">
      <c r="A23" s="17" t="s">
        <v>49</v>
      </c>
      <c r="B23" s="117"/>
      <c r="C23" s="117"/>
      <c r="D23"/>
      <c r="E23" s="41"/>
      <c r="F23" s="41"/>
      <c r="G23" s="6">
        <f>(21134.8*36.744)/1000000</f>
        <v>0.77657709120000007</v>
      </c>
      <c r="H23" s="13"/>
      <c r="I23" s="117"/>
      <c r="J23" s="13">
        <f>((5222412*0.907185)*36.744)/1000000</f>
        <v>174.08182209760369</v>
      </c>
      <c r="K23" s="40"/>
      <c r="L23" s="6">
        <f>(2271040.2*36.744)/1000000</f>
        <v>83.447101108800013</v>
      </c>
      <c r="M23" s="6"/>
      <c r="N23" s="13"/>
      <c r="Q23"/>
    </row>
    <row r="24" spans="1:17" ht="16.5" customHeight="1">
      <c r="A24" s="17" t="s">
        <v>50</v>
      </c>
      <c r="B24" s="117"/>
      <c r="C24" s="117"/>
      <c r="D24"/>
      <c r="E24" s="41"/>
      <c r="F24" s="41"/>
      <c r="G24" s="6">
        <f>(60079*36.744)/1000000</f>
        <v>2.2075427759999999</v>
      </c>
      <c r="H24" s="13"/>
      <c r="I24" s="117"/>
      <c r="J24" s="13">
        <f>((5440043*0.907185)*36.744)/1000000</f>
        <v>181.33624802664252</v>
      </c>
      <c r="K24" s="40"/>
      <c r="L24" s="6">
        <f>(2323087.5*36.744)/1000000</f>
        <v>85.359527099999994</v>
      </c>
      <c r="M24" s="6"/>
      <c r="N24" s="13"/>
      <c r="Q24"/>
    </row>
    <row r="25" spans="1:17" ht="16.5" customHeight="1">
      <c r="A25" s="17" t="s">
        <v>51</v>
      </c>
      <c r="B25" s="117"/>
      <c r="C25" s="117"/>
      <c r="D25"/>
      <c r="E25" s="41"/>
      <c r="F25" s="41"/>
      <c r="G25" s="6">
        <f>(60683.8*36.744)/1000000</f>
        <v>2.2297655472</v>
      </c>
      <c r="H25" s="13"/>
      <c r="I25" s="117"/>
      <c r="J25" s="13">
        <f>((5252619*0.907185)*36.744)/1000000</f>
        <v>175.08873032317118</v>
      </c>
      <c r="K25" s="40"/>
      <c r="L25" s="6">
        <f>(3317459.2*36.744)/1000000</f>
        <v>121.89672084480002</v>
      </c>
      <c r="M25" s="6"/>
      <c r="N25" s="13"/>
      <c r="Q25"/>
    </row>
    <row r="26" spans="1:17" ht="16.5" customHeight="1">
      <c r="A26" s="17" t="s">
        <v>52</v>
      </c>
      <c r="B26" s="117"/>
      <c r="C26" s="117"/>
      <c r="D26"/>
      <c r="E26" s="41">
        <f>N22</f>
        <v>971.28899999999999</v>
      </c>
      <c r="F26" s="41"/>
      <c r="G26" s="6">
        <f>SUM(G23:G25)</f>
        <v>5.2138854144</v>
      </c>
      <c r="H26" s="13">
        <f>E26+F26+G26</f>
        <v>976.5028854144</v>
      </c>
      <c r="I26" s="117"/>
      <c r="J26" s="13">
        <f>SUM(J23:J25)</f>
        <v>530.50680044741739</v>
      </c>
      <c r="K26" s="40">
        <f>M26-L26-J26</f>
        <v>-118.46326408661741</v>
      </c>
      <c r="L26" s="6">
        <f>SUM(L23:L25)</f>
        <v>290.70334905360005</v>
      </c>
      <c r="M26" s="6">
        <f>H26-N26</f>
        <v>702.74688541440003</v>
      </c>
      <c r="N26" s="13">
        <f>273.756</f>
        <v>273.75599999999997</v>
      </c>
      <c r="Q26"/>
    </row>
    <row r="27" spans="1:17" ht="16.5" customHeight="1">
      <c r="A27" s="21" t="s">
        <v>28</v>
      </c>
      <c r="B27" s="117"/>
      <c r="C27" s="117"/>
      <c r="D27" s="117"/>
      <c r="E27" s="41"/>
      <c r="F27" s="41">
        <f>F14</f>
        <v>4465.3819999999996</v>
      </c>
      <c r="G27" s="6">
        <f>(433000.6*36.744)/1000000</f>
        <v>15.9101740464</v>
      </c>
      <c r="H27" s="13">
        <f>E14+F27+G27</f>
        <v>4738.2711740464001</v>
      </c>
      <c r="I27" s="117"/>
      <c r="J27" s="13">
        <f>SUM(J14,J18,J22,J26)</f>
        <v>2203.8322700661743</v>
      </c>
      <c r="K27" s="40">
        <f>SUM(K14,K18,K22,K26)</f>
        <v>103.03621654982567</v>
      </c>
      <c r="L27" s="6">
        <f>(58721061.6*36.744)/1000000</f>
        <v>2157.6466874304001</v>
      </c>
      <c r="M27" s="6">
        <f>SUM(M14,M18,M22,M26)</f>
        <v>4464.5151777208002</v>
      </c>
      <c r="N27" s="13"/>
    </row>
    <row r="28" spans="1:17" ht="16.5" customHeight="1">
      <c r="A28" s="21"/>
      <c r="B28" s="117"/>
      <c r="C28" s="117"/>
      <c r="D28" s="117"/>
      <c r="E28" s="41"/>
      <c r="F28" s="41"/>
      <c r="G28" s="6"/>
      <c r="H28" s="13"/>
      <c r="I28" s="117"/>
      <c r="J28" s="13"/>
      <c r="K28" s="40"/>
      <c r="L28" s="6"/>
      <c r="M28" s="6"/>
      <c r="N28" s="13"/>
    </row>
    <row r="29" spans="1:17" ht="16.5" customHeight="1">
      <c r="A29" s="51" t="s">
        <v>156</v>
      </c>
      <c r="B29" s="117"/>
      <c r="C29" s="117"/>
      <c r="D29" s="117"/>
      <c r="E29" s="41"/>
      <c r="F29" s="41"/>
      <c r="G29" s="6"/>
      <c r="H29" s="13"/>
      <c r="I29" s="117"/>
      <c r="J29" s="13"/>
      <c r="K29" s="40"/>
      <c r="L29" s="6"/>
      <c r="M29" s="6"/>
      <c r="N29" s="13"/>
    </row>
    <row r="30" spans="1:17" ht="16.5" customHeight="1">
      <c r="A30" s="21" t="s">
        <v>37</v>
      </c>
      <c r="B30" s="117"/>
      <c r="C30" s="117"/>
      <c r="D30" s="117"/>
      <c r="E30" s="41"/>
      <c r="F30" s="41"/>
      <c r="G30" s="6">
        <f>(31760.9*36.744)/1000000</f>
        <v>1.1670225096</v>
      </c>
      <c r="H30" s="13"/>
      <c r="I30" s="117"/>
      <c r="J30" s="13">
        <f>((5028287*0.907185)*36.744)/1000000</f>
        <v>167.6109359027387</v>
      </c>
      <c r="K30" s="40"/>
      <c r="L30" s="6">
        <f>(2122949.2*36.744)/1000000</f>
        <v>78.005645404800006</v>
      </c>
      <c r="M30" s="6"/>
      <c r="N30" s="13"/>
    </row>
    <row r="31" spans="1:17" ht="16.5" customHeight="1">
      <c r="A31" s="21" t="s">
        <v>38</v>
      </c>
      <c r="B31" s="117"/>
      <c r="C31" s="117"/>
      <c r="D31" s="117"/>
      <c r="E31" s="41"/>
      <c r="F31" s="41"/>
      <c r="G31" s="6">
        <f>(33846.3*36.744)/1000000</f>
        <v>1.2436484472</v>
      </c>
      <c r="H31" s="13"/>
      <c r="I31" s="117"/>
      <c r="J31" s="13">
        <f>((5899694*0.907185)*36.744)/1000000</f>
        <v>196.65807319267415</v>
      </c>
      <c r="K31" s="40"/>
      <c r="L31" s="6">
        <f>(9780846.5*36.744)/1000000</f>
        <v>359.38742379600001</v>
      </c>
      <c r="M31" s="6"/>
      <c r="N31" s="13"/>
    </row>
    <row r="32" spans="1:17" ht="16.5" customHeight="1">
      <c r="A32" s="111" t="s">
        <v>54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112"/>
      <c r="M32" s="90"/>
      <c r="N32" s="90"/>
    </row>
    <row r="33" spans="1:73" ht="16.5" customHeight="1">
      <c r="A33" s="17" t="s">
        <v>55</v>
      </c>
      <c r="B33" s="17"/>
      <c r="C33" s="17"/>
      <c r="D33" s="17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73" ht="16.5" customHeight="1">
      <c r="A34" s="23" t="s">
        <v>56</v>
      </c>
      <c r="B34" s="46">
        <f>Contents!A16</f>
        <v>44908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18"/>
      <c r="P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</row>
    <row r="35" spans="1:73">
      <c r="O35" s="118"/>
      <c r="P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</row>
    <row r="36" spans="1:73">
      <c r="O36" s="118"/>
      <c r="P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</row>
    <row r="37" spans="1:73">
      <c r="O37" s="118"/>
      <c r="P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</row>
    <row r="38" spans="1:73">
      <c r="F38" s="47"/>
      <c r="O38" s="118"/>
      <c r="P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</row>
    <row r="39" spans="1:73">
      <c r="O39" s="118"/>
      <c r="P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</row>
    <row r="40" spans="1:73">
      <c r="O40" s="118"/>
      <c r="P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</row>
    <row r="41" spans="1:73">
      <c r="O41" s="118"/>
      <c r="P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</row>
    <row r="42" spans="1:73">
      <c r="O42" s="118"/>
      <c r="P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</row>
    <row r="43" spans="1:73">
      <c r="O43" s="118"/>
      <c r="P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</row>
    <row r="44" spans="1:73">
      <c r="O44" s="118"/>
      <c r="P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</row>
    <row r="45" spans="1:73">
      <c r="O45" s="118"/>
      <c r="P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</row>
    <row r="46" spans="1:73">
      <c r="O46" s="118"/>
      <c r="P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</row>
    <row r="47" spans="1:73">
      <c r="O47" s="118"/>
      <c r="P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</row>
    <row r="48" spans="1:73">
      <c r="O48" s="118"/>
      <c r="P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</row>
    <row r="49" spans="15:73">
      <c r="O49" s="118"/>
      <c r="P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</row>
    <row r="50" spans="15:73">
      <c r="O50" s="118"/>
      <c r="P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</row>
    <row r="51" spans="15:73">
      <c r="O51" s="118"/>
      <c r="P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</row>
    <row r="52" spans="15:73">
      <c r="O52" s="118"/>
      <c r="P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</row>
    <row r="53" spans="15:73">
      <c r="O53" s="118"/>
      <c r="P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</row>
    <row r="54" spans="15:73">
      <c r="O54" s="118"/>
      <c r="P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</row>
    <row r="55" spans="15:73">
      <c r="O55" s="118"/>
      <c r="P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</row>
    <row r="56" spans="15:73">
      <c r="O56" s="118"/>
      <c r="P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</row>
    <row r="57" spans="15:73">
      <c r="O57" s="118"/>
      <c r="P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</row>
    <row r="58" spans="15:73">
      <c r="O58" s="118"/>
      <c r="P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</row>
    <row r="59" spans="15:73">
      <c r="O59" s="118"/>
      <c r="P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</row>
    <row r="60" spans="15:73">
      <c r="O60" s="118"/>
      <c r="P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</row>
    <row r="61" spans="15:73">
      <c r="O61" s="118"/>
      <c r="P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</row>
    <row r="62" spans="15:73"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</row>
    <row r="63" spans="15:73"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</row>
    <row r="64" spans="15:73"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</row>
    <row r="65" spans="15:73"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</row>
    <row r="66" spans="15:73"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</row>
    <row r="67" spans="15:73"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</row>
    <row r="68" spans="15:73"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</row>
    <row r="69" spans="15:73"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</row>
    <row r="70" spans="15:73"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</row>
    <row r="71" spans="15:73"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</row>
    <row r="72" spans="15:73"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</row>
    <row r="73" spans="15:73"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</row>
    <row r="74" spans="15:73"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</row>
    <row r="75" spans="15:73"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</row>
    <row r="76" spans="15:73"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</row>
    <row r="77" spans="15:73"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</row>
    <row r="78" spans="15:73"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</row>
    <row r="79" spans="15:73"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</row>
    <row r="80" spans="15:73"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</row>
    <row r="81" spans="15:73"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</row>
    <row r="82" spans="15:73"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</row>
    <row r="83" spans="15:73"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</row>
    <row r="84" spans="15:73"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</row>
    <row r="85" spans="15:73"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</row>
    <row r="86" spans="15:73"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</row>
    <row r="87" spans="15:73"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</row>
    <row r="88" spans="15:73"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</row>
    <row r="89" spans="15:73"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</row>
    <row r="90" spans="15:73"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</row>
    <row r="91" spans="15:73"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</row>
    <row r="92" spans="15:73"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</row>
    <row r="93" spans="15:73"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</row>
    <row r="94" spans="15:73"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</row>
    <row r="95" spans="15:73"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</row>
    <row r="96" spans="15:73"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</row>
    <row r="97" spans="15:73"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</row>
    <row r="98" spans="15:73"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</row>
    <row r="99" spans="15:73"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</row>
    <row r="100" spans="15:73"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</row>
    <row r="101" spans="15:73"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</row>
    <row r="102" spans="15:73"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</row>
    <row r="103" spans="15:73"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</row>
    <row r="104" spans="15:73"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</row>
    <row r="105" spans="15:73"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</row>
    <row r="106" spans="15:73"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</row>
    <row r="107" spans="15:73"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</row>
    <row r="108" spans="15:73"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</row>
    <row r="109" spans="15:73"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</row>
    <row r="110" spans="15:73"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</row>
    <row r="111" spans="15:73"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</row>
    <row r="112" spans="15:73"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</row>
    <row r="113" spans="15:73"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</row>
    <row r="114" spans="15:73"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</row>
    <row r="115" spans="15:73"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</row>
    <row r="116" spans="15:73"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</row>
    <row r="117" spans="15:73"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</row>
    <row r="118" spans="15:73"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</row>
    <row r="119" spans="15:73"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</row>
    <row r="120" spans="15:73"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</row>
    <row r="121" spans="15:73"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</row>
    <row r="122" spans="15:73"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</row>
    <row r="123" spans="15:73"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</row>
    <row r="124" spans="15:73"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</row>
    <row r="125" spans="15:73"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</row>
    <row r="126" spans="15:73"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</row>
    <row r="127" spans="15:73"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</row>
    <row r="128" spans="15:73"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</row>
    <row r="129" spans="15:73"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</row>
    <row r="130" spans="15:73"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</row>
    <row r="131" spans="15:73"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</row>
    <row r="132" spans="15:73"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</row>
    <row r="133" spans="15:73"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</row>
    <row r="134" spans="15:73"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</row>
    <row r="135" spans="15:73"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</row>
    <row r="136" spans="15:73"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</row>
    <row r="137" spans="15:73"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</row>
    <row r="138" spans="15:73"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</row>
    <row r="139" spans="15:73"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</row>
    <row r="140" spans="15:73"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</row>
    <row r="141" spans="15:73"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</row>
    <row r="142" spans="15:73"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</row>
    <row r="143" spans="15:73"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</row>
    <row r="144" spans="15:73"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</row>
    <row r="145" spans="15:73"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</row>
    <row r="146" spans="15:73"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</row>
    <row r="147" spans="15:73"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</row>
    <row r="148" spans="15:73"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</row>
    <row r="149" spans="15:73"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</row>
    <row r="150" spans="15:73"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</row>
    <row r="151" spans="15:73"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</row>
    <row r="152" spans="15:73"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</row>
    <row r="153" spans="15:73"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</row>
    <row r="154" spans="15:73"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</row>
    <row r="155" spans="15:73"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</row>
    <row r="156" spans="15:73"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</row>
    <row r="157" spans="15:73"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</row>
    <row r="158" spans="15:73"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</row>
    <row r="159" spans="15:73"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</row>
    <row r="160" spans="15:73"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</row>
    <row r="161" spans="15:73"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</row>
    <row r="162" spans="15:73"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</row>
    <row r="163" spans="15:73"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</row>
    <row r="164" spans="15:73"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</row>
    <row r="165" spans="15:73"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</row>
    <row r="166" spans="15:73"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</row>
    <row r="167" spans="15:73"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</row>
    <row r="168" spans="15:73"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</row>
    <row r="169" spans="15:73"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</row>
    <row r="170" spans="15:73"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</row>
    <row r="171" spans="15:73"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</row>
    <row r="172" spans="15:73"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</row>
    <row r="173" spans="15:73"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</row>
    <row r="174" spans="15:73"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</row>
    <row r="175" spans="15:73"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</row>
    <row r="176" spans="15:73"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</row>
    <row r="177" spans="15:73"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</row>
    <row r="178" spans="15:73"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</row>
    <row r="179" spans="15:73"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</row>
    <row r="180" spans="15:73"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</row>
    <row r="181" spans="15:73"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</row>
    <row r="182" spans="15:73"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</row>
    <row r="183" spans="15:73"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</row>
    <row r="184" spans="15:73"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</row>
    <row r="185" spans="15:73"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</row>
    <row r="186" spans="15:73"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</row>
    <row r="187" spans="15:73"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</row>
    <row r="188" spans="15:73"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</row>
    <row r="189" spans="15:73"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</row>
    <row r="190" spans="15:73"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</row>
    <row r="191" spans="15:73"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8"/>
      <c r="BS191" s="118"/>
      <c r="BT191" s="118"/>
      <c r="BU191" s="118"/>
    </row>
    <row r="192" spans="15:73"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</row>
    <row r="193" spans="15:73"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</row>
    <row r="194" spans="15:73"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</row>
    <row r="195" spans="15:73"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</row>
    <row r="196" spans="15:73"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</row>
    <row r="197" spans="15:73"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</row>
    <row r="198" spans="15:73"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</row>
    <row r="199" spans="15:73"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8"/>
      <c r="BS199" s="118"/>
      <c r="BT199" s="118"/>
      <c r="BU199" s="118"/>
    </row>
    <row r="200" spans="15:73"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18"/>
      <c r="BQ200" s="118"/>
      <c r="BR200" s="118"/>
      <c r="BS200" s="118"/>
      <c r="BT200" s="118"/>
      <c r="BU200" s="118"/>
    </row>
    <row r="201" spans="15:73"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</row>
    <row r="202" spans="15:73"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</row>
    <row r="203" spans="15:73"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BM203" s="118"/>
      <c r="BN203" s="118"/>
      <c r="BO203" s="118"/>
      <c r="BP203" s="118"/>
      <c r="BQ203" s="118"/>
      <c r="BR203" s="118"/>
      <c r="BS203" s="118"/>
      <c r="BT203" s="118"/>
      <c r="BU203" s="118"/>
    </row>
    <row r="204" spans="15:73"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18"/>
      <c r="BQ204" s="118"/>
      <c r="BR204" s="118"/>
      <c r="BS204" s="118"/>
      <c r="BT204" s="118"/>
      <c r="BU204" s="118"/>
    </row>
    <row r="205" spans="15:73"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</row>
    <row r="206" spans="15:73"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</row>
    <row r="207" spans="15:73"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</row>
    <row r="208" spans="15:73"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8"/>
      <c r="BS208" s="118"/>
      <c r="BT208" s="118"/>
      <c r="BU208" s="118"/>
    </row>
    <row r="209" spans="15:73"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</row>
    <row r="210" spans="15:73"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</row>
    <row r="211" spans="15:73"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8"/>
      <c r="BS211" s="118"/>
      <c r="BT211" s="118"/>
      <c r="BU211" s="118"/>
    </row>
    <row r="212" spans="15:73"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</row>
    <row r="213" spans="15:73"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8"/>
      <c r="BS213" s="118"/>
      <c r="BT213" s="118"/>
      <c r="BU213" s="118"/>
    </row>
    <row r="214" spans="15:73"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</row>
    <row r="215" spans="15:73"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</row>
    <row r="216" spans="15:73"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</row>
    <row r="217" spans="15:73"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  <c r="BT217" s="118"/>
      <c r="BU217" s="118"/>
    </row>
    <row r="218" spans="15:73"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8"/>
      <c r="BS218" s="118"/>
      <c r="BT218" s="118"/>
      <c r="BU218" s="118"/>
    </row>
    <row r="219" spans="15:73"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</row>
    <row r="220" spans="15:73"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</row>
    <row r="221" spans="15:73"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</row>
    <row r="222" spans="15:73"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BM222" s="118"/>
      <c r="BN222" s="118"/>
      <c r="BO222" s="118"/>
      <c r="BP222" s="118"/>
      <c r="BQ222" s="118"/>
      <c r="BR222" s="118"/>
      <c r="BS222" s="118"/>
      <c r="BT222" s="118"/>
      <c r="BU222" s="118"/>
    </row>
    <row r="223" spans="15:73"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/>
    </row>
    <row r="224" spans="15:73"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</row>
    <row r="225" spans="15:73"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18"/>
      <c r="BM225" s="118"/>
      <c r="BN225" s="118"/>
      <c r="BO225" s="118"/>
      <c r="BP225" s="118"/>
      <c r="BQ225" s="118"/>
      <c r="BR225" s="118"/>
      <c r="BS225" s="118"/>
      <c r="BT225" s="118"/>
      <c r="BU225" s="118"/>
    </row>
    <row r="226" spans="15:73"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BM226" s="118"/>
      <c r="BN226" s="118"/>
      <c r="BO226" s="118"/>
      <c r="BP226" s="118"/>
      <c r="BQ226" s="118"/>
      <c r="BR226" s="118"/>
      <c r="BS226" s="118"/>
      <c r="BT226" s="118"/>
      <c r="BU226" s="118"/>
    </row>
    <row r="227" spans="15:73"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</row>
    <row r="228" spans="15:73"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</row>
    <row r="229" spans="15:73"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</row>
    <row r="230" spans="15:73"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  <c r="BH230" s="118"/>
      <c r="BI230" s="118"/>
      <c r="BJ230" s="118"/>
      <c r="BK230" s="118"/>
      <c r="BL230" s="118"/>
      <c r="BM230" s="118"/>
      <c r="BN230" s="118"/>
      <c r="BO230" s="118"/>
      <c r="BP230" s="118"/>
      <c r="BQ230" s="118"/>
      <c r="BR230" s="118"/>
      <c r="BS230" s="118"/>
      <c r="BT230" s="118"/>
      <c r="BU230" s="118"/>
    </row>
    <row r="231" spans="15:73"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  <c r="BH231" s="118"/>
      <c r="BI231" s="118"/>
      <c r="BJ231" s="118"/>
      <c r="BK231" s="118"/>
      <c r="BL231" s="118"/>
      <c r="BM231" s="118"/>
      <c r="BN231" s="118"/>
      <c r="BO231" s="118"/>
      <c r="BP231" s="118"/>
      <c r="BQ231" s="118"/>
      <c r="BR231" s="118"/>
      <c r="BS231" s="118"/>
      <c r="BT231" s="118"/>
      <c r="BU231" s="118"/>
    </row>
    <row r="232" spans="15:73"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</row>
    <row r="233" spans="15:73"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</row>
    <row r="234" spans="15:73"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8"/>
      <c r="BR234" s="118"/>
      <c r="BS234" s="118"/>
      <c r="BT234" s="118"/>
      <c r="BU234" s="118"/>
    </row>
    <row r="235" spans="15:73"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8"/>
      <c r="BN235" s="118"/>
      <c r="BO235" s="118"/>
      <c r="BP235" s="118"/>
      <c r="BQ235" s="118"/>
      <c r="BR235" s="118"/>
      <c r="BS235" s="118"/>
      <c r="BT235" s="118"/>
      <c r="BU235" s="118"/>
    </row>
    <row r="236" spans="15:73"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8"/>
      <c r="BS236" s="118"/>
      <c r="BT236" s="118"/>
      <c r="BU236" s="118"/>
    </row>
    <row r="237" spans="15:73"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</row>
    <row r="238" spans="15:73"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  <c r="BH238" s="118"/>
      <c r="BI238" s="118"/>
      <c r="BJ238" s="118"/>
      <c r="BK238" s="118"/>
      <c r="BL238" s="118"/>
      <c r="BM238" s="118"/>
      <c r="BN238" s="118"/>
      <c r="BO238" s="118"/>
      <c r="BP238" s="118"/>
      <c r="BQ238" s="118"/>
      <c r="BR238" s="118"/>
      <c r="BS238" s="118"/>
      <c r="BT238" s="118"/>
      <c r="BU238" s="118"/>
    </row>
    <row r="239" spans="15:73"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  <c r="BH239" s="118"/>
      <c r="BI239" s="118"/>
      <c r="BJ239" s="118"/>
      <c r="BK239" s="118"/>
      <c r="BL239" s="118"/>
      <c r="BM239" s="118"/>
      <c r="BN239" s="118"/>
      <c r="BO239" s="118"/>
      <c r="BP239" s="118"/>
      <c r="BQ239" s="118"/>
      <c r="BR239" s="118"/>
      <c r="BS239" s="118"/>
      <c r="BT239" s="118"/>
      <c r="BU239" s="118"/>
    </row>
    <row r="240" spans="15:73"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  <c r="BI240" s="118"/>
      <c r="BJ240" s="118"/>
      <c r="BK240" s="118"/>
      <c r="BL240" s="118"/>
      <c r="BM240" s="118"/>
      <c r="BN240" s="118"/>
      <c r="BO240" s="118"/>
      <c r="BP240" s="118"/>
      <c r="BQ240" s="118"/>
      <c r="BR240" s="118"/>
      <c r="BS240" s="118"/>
      <c r="BT240" s="118"/>
      <c r="BU240" s="118"/>
    </row>
    <row r="241" spans="15:73"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</row>
    <row r="242" spans="15:73"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8"/>
      <c r="BP242" s="118"/>
      <c r="BQ242" s="118"/>
      <c r="BR242" s="118"/>
      <c r="BS242" s="118"/>
      <c r="BT242" s="118"/>
      <c r="BU242" s="118"/>
    </row>
    <row r="243" spans="15:73"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8"/>
      <c r="BJ243" s="118"/>
      <c r="BK243" s="118"/>
      <c r="BL243" s="118"/>
      <c r="BM243" s="118"/>
      <c r="BN243" s="118"/>
      <c r="BO243" s="118"/>
      <c r="BP243" s="118"/>
      <c r="BQ243" s="118"/>
      <c r="BR243" s="118"/>
      <c r="BS243" s="118"/>
      <c r="BT243" s="118"/>
      <c r="BU243" s="118"/>
    </row>
    <row r="244" spans="15:73"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</row>
    <row r="245" spans="15:73"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</row>
    <row r="246" spans="15:73"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</row>
    <row r="247" spans="15:73"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</row>
    <row r="248" spans="15:73"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</row>
    <row r="249" spans="15:73"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  <c r="BH249" s="118"/>
      <c r="BI249" s="118"/>
      <c r="BJ249" s="118"/>
      <c r="BK249" s="118"/>
      <c r="BL249" s="118"/>
      <c r="BM249" s="118"/>
      <c r="BN249" s="118"/>
      <c r="BO249" s="118"/>
      <c r="BP249" s="118"/>
      <c r="BQ249" s="118"/>
      <c r="BR249" s="118"/>
      <c r="BS249" s="118"/>
      <c r="BT249" s="118"/>
      <c r="BU249" s="118"/>
    </row>
    <row r="250" spans="15:73"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  <c r="BH250" s="118"/>
      <c r="BI250" s="118"/>
      <c r="BJ250" s="118"/>
      <c r="BK250" s="118"/>
      <c r="BL250" s="118"/>
      <c r="BM250" s="118"/>
      <c r="BN250" s="118"/>
      <c r="BO250" s="118"/>
      <c r="BP250" s="118"/>
      <c r="BQ250" s="118"/>
      <c r="BR250" s="118"/>
      <c r="BS250" s="118"/>
      <c r="BT250" s="118"/>
      <c r="BU250" s="118"/>
    </row>
    <row r="251" spans="15:73"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  <c r="BH251" s="118"/>
      <c r="BI251" s="118"/>
      <c r="BJ251" s="118"/>
      <c r="BK251" s="118"/>
      <c r="BL251" s="118"/>
      <c r="BM251" s="118"/>
      <c r="BN251" s="118"/>
      <c r="BO251" s="118"/>
      <c r="BP251" s="118"/>
      <c r="BQ251" s="118"/>
      <c r="BR251" s="118"/>
      <c r="BS251" s="118"/>
      <c r="BT251" s="118"/>
      <c r="BU251" s="118"/>
    </row>
    <row r="252" spans="15:73"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  <c r="BM252" s="118"/>
      <c r="BN252" s="118"/>
      <c r="BO252" s="118"/>
      <c r="BP252" s="118"/>
      <c r="BQ252" s="118"/>
      <c r="BR252" s="118"/>
      <c r="BS252" s="118"/>
      <c r="BT252" s="118"/>
      <c r="BU252" s="118"/>
    </row>
    <row r="253" spans="15:73"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18"/>
      <c r="BH253" s="118"/>
      <c r="BI253" s="118"/>
      <c r="BJ253" s="118"/>
      <c r="BK253" s="118"/>
      <c r="BL253" s="118"/>
      <c r="BM253" s="118"/>
      <c r="BN253" s="118"/>
      <c r="BO253" s="118"/>
      <c r="BP253" s="118"/>
      <c r="BQ253" s="118"/>
      <c r="BR253" s="118"/>
      <c r="BS253" s="118"/>
      <c r="BT253" s="118"/>
      <c r="BU253" s="118"/>
    </row>
    <row r="254" spans="15:73"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8"/>
      <c r="BQ254" s="118"/>
      <c r="BR254" s="118"/>
      <c r="BS254" s="118"/>
      <c r="BT254" s="118"/>
      <c r="BU254" s="118"/>
    </row>
    <row r="255" spans="15:73"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8"/>
      <c r="BD255" s="118"/>
      <c r="BE255" s="118"/>
      <c r="BF255" s="118"/>
      <c r="BG255" s="118"/>
      <c r="BH255" s="118"/>
      <c r="BI255" s="118"/>
      <c r="BJ255" s="118"/>
      <c r="BK255" s="118"/>
      <c r="BL255" s="118"/>
      <c r="BM255" s="118"/>
      <c r="BN255" s="118"/>
      <c r="BO255" s="118"/>
      <c r="BP255" s="118"/>
      <c r="BQ255" s="118"/>
      <c r="BR255" s="118"/>
      <c r="BS255" s="118"/>
      <c r="BT255" s="118"/>
      <c r="BU255" s="118"/>
    </row>
    <row r="256" spans="15:73"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  <c r="BH256" s="118"/>
      <c r="BI256" s="118"/>
      <c r="BJ256" s="118"/>
      <c r="BK256" s="118"/>
      <c r="BL256" s="118"/>
      <c r="BM256" s="118"/>
      <c r="BN256" s="118"/>
      <c r="BO256" s="118"/>
      <c r="BP256" s="118"/>
      <c r="BQ256" s="118"/>
      <c r="BR256" s="118"/>
      <c r="BS256" s="118"/>
      <c r="BT256" s="118"/>
      <c r="BU256" s="118"/>
    </row>
    <row r="257" spans="15:73"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8"/>
      <c r="BS257" s="118"/>
      <c r="BT257" s="118"/>
      <c r="BU257" s="118"/>
    </row>
    <row r="258" spans="15:73"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  <c r="BO258" s="118"/>
      <c r="BP258" s="118"/>
      <c r="BQ258" s="118"/>
      <c r="BR258" s="118"/>
      <c r="BS258" s="118"/>
      <c r="BT258" s="118"/>
      <c r="BU258" s="118"/>
    </row>
    <row r="259" spans="15:73"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  <c r="BH259" s="118"/>
      <c r="BI259" s="118"/>
      <c r="BJ259" s="118"/>
      <c r="BK259" s="118"/>
      <c r="BL259" s="118"/>
      <c r="BM259" s="118"/>
      <c r="BN259" s="118"/>
      <c r="BO259" s="118"/>
      <c r="BP259" s="118"/>
      <c r="BQ259" s="118"/>
      <c r="BR259" s="118"/>
      <c r="BS259" s="118"/>
      <c r="BT259" s="118"/>
      <c r="BU259" s="118"/>
    </row>
    <row r="260" spans="15:73"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8"/>
      <c r="BP260" s="118"/>
      <c r="BQ260" s="118"/>
      <c r="BR260" s="118"/>
      <c r="BS260" s="118"/>
      <c r="BT260" s="118"/>
      <c r="BU260" s="118"/>
    </row>
    <row r="261" spans="15:73"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8"/>
      <c r="BQ261" s="118"/>
      <c r="BR261" s="118"/>
      <c r="BS261" s="118"/>
      <c r="BT261" s="118"/>
      <c r="BU261" s="118"/>
    </row>
    <row r="262" spans="15:73"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  <c r="BH262" s="118"/>
      <c r="BI262" s="118"/>
      <c r="BJ262" s="118"/>
      <c r="BK262" s="118"/>
      <c r="BL262" s="118"/>
      <c r="BM262" s="118"/>
      <c r="BN262" s="118"/>
      <c r="BO262" s="118"/>
      <c r="BP262" s="118"/>
      <c r="BQ262" s="118"/>
      <c r="BR262" s="118"/>
      <c r="BS262" s="118"/>
      <c r="BT262" s="118"/>
      <c r="BU262" s="118"/>
    </row>
    <row r="263" spans="15:73"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8"/>
      <c r="BP263" s="118"/>
      <c r="BQ263" s="118"/>
      <c r="BR263" s="118"/>
      <c r="BS263" s="118"/>
      <c r="BT263" s="118"/>
      <c r="BU263" s="118"/>
    </row>
    <row r="264" spans="15:73"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</row>
    <row r="265" spans="15:73"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8"/>
      <c r="BS265" s="118"/>
      <c r="BT265" s="118"/>
      <c r="BU265" s="118"/>
    </row>
    <row r="266" spans="15:73"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</row>
    <row r="267" spans="15:73"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8"/>
      <c r="BD267" s="118"/>
      <c r="BE267" s="118"/>
      <c r="BF267" s="118"/>
      <c r="BG267" s="118"/>
      <c r="BH267" s="118"/>
      <c r="BI267" s="118"/>
      <c r="BJ267" s="118"/>
      <c r="BK267" s="118"/>
      <c r="BL267" s="118"/>
      <c r="BM267" s="118"/>
      <c r="BN267" s="118"/>
      <c r="BO267" s="118"/>
      <c r="BP267" s="118"/>
      <c r="BQ267" s="118"/>
      <c r="BR267" s="118"/>
      <c r="BS267" s="118"/>
      <c r="BT267" s="118"/>
      <c r="BU267" s="118"/>
    </row>
    <row r="268" spans="15:73"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</row>
    <row r="269" spans="15:73"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8"/>
      <c r="BQ269" s="118"/>
      <c r="BR269" s="118"/>
      <c r="BS269" s="118"/>
      <c r="BT269" s="118"/>
      <c r="BU269" s="118"/>
    </row>
    <row r="270" spans="15:73"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</row>
    <row r="271" spans="15:73"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/>
    </row>
    <row r="272" spans="15:73"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8"/>
      <c r="BM272" s="118"/>
      <c r="BN272" s="118"/>
      <c r="BO272" s="118"/>
      <c r="BP272" s="118"/>
      <c r="BQ272" s="118"/>
      <c r="BR272" s="118"/>
      <c r="BS272" s="118"/>
      <c r="BT272" s="118"/>
      <c r="BU272" s="118"/>
    </row>
    <row r="273" spans="15:73"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  <c r="BH273" s="118"/>
      <c r="BI273" s="118"/>
      <c r="BJ273" s="118"/>
      <c r="BK273" s="118"/>
      <c r="BL273" s="118"/>
      <c r="BM273" s="118"/>
      <c r="BN273" s="118"/>
      <c r="BO273" s="118"/>
      <c r="BP273" s="118"/>
      <c r="BQ273" s="118"/>
      <c r="BR273" s="118"/>
      <c r="BS273" s="118"/>
      <c r="BT273" s="118"/>
      <c r="BU273" s="118"/>
    </row>
    <row r="274" spans="15:73"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  <c r="BH274" s="118"/>
      <c r="BI274" s="118"/>
      <c r="BJ274" s="118"/>
      <c r="BK274" s="118"/>
      <c r="BL274" s="118"/>
      <c r="BM274" s="118"/>
      <c r="BN274" s="118"/>
      <c r="BO274" s="118"/>
      <c r="BP274" s="118"/>
      <c r="BQ274" s="118"/>
      <c r="BR274" s="118"/>
      <c r="BS274" s="118"/>
      <c r="BT274" s="118"/>
      <c r="BU274" s="118"/>
    </row>
    <row r="275" spans="15:73"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8"/>
      <c r="BS275" s="118"/>
      <c r="BT275" s="118"/>
      <c r="BU275" s="118"/>
    </row>
    <row r="276" spans="15:73"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  <c r="BH276" s="118"/>
      <c r="BI276" s="118"/>
      <c r="BJ276" s="118"/>
      <c r="BK276" s="118"/>
      <c r="BL276" s="118"/>
      <c r="BM276" s="118"/>
      <c r="BN276" s="118"/>
      <c r="BO276" s="118"/>
      <c r="BP276" s="118"/>
      <c r="BQ276" s="118"/>
      <c r="BR276" s="118"/>
      <c r="BS276" s="118"/>
      <c r="BT276" s="118"/>
      <c r="BU276" s="118"/>
    </row>
    <row r="277" spans="15:73"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8"/>
      <c r="BS277" s="118"/>
      <c r="BT277" s="118"/>
      <c r="BU277" s="118"/>
    </row>
    <row r="278" spans="15:73"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8"/>
      <c r="BS278" s="118"/>
      <c r="BT278" s="118"/>
      <c r="BU278" s="118"/>
    </row>
    <row r="279" spans="15:73"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</row>
    <row r="280" spans="15:73"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</row>
    <row r="281" spans="15:73"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  <c r="BH281" s="118"/>
      <c r="BI281" s="118"/>
      <c r="BJ281" s="118"/>
      <c r="BK281" s="118"/>
      <c r="BL281" s="118"/>
      <c r="BM281" s="118"/>
      <c r="BN281" s="118"/>
      <c r="BO281" s="118"/>
      <c r="BP281" s="118"/>
      <c r="BQ281" s="118"/>
      <c r="BR281" s="118"/>
      <c r="BS281" s="118"/>
      <c r="BT281" s="118"/>
      <c r="BU281" s="118"/>
    </row>
    <row r="282" spans="15:73"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118"/>
      <c r="BR282" s="118"/>
      <c r="BS282" s="118"/>
      <c r="BT282" s="118"/>
      <c r="BU282" s="118"/>
    </row>
    <row r="283" spans="15:73"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</row>
    <row r="284" spans="15:73"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  <c r="BH284" s="118"/>
      <c r="BI284" s="118"/>
      <c r="BJ284" s="118"/>
      <c r="BK284" s="118"/>
      <c r="BL284" s="118"/>
      <c r="BM284" s="118"/>
      <c r="BN284" s="118"/>
      <c r="BO284" s="118"/>
      <c r="BP284" s="118"/>
      <c r="BQ284" s="118"/>
      <c r="BR284" s="118"/>
      <c r="BS284" s="118"/>
      <c r="BT284" s="118"/>
      <c r="BU284" s="118"/>
    </row>
    <row r="285" spans="15:73"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8"/>
      <c r="BS285" s="118"/>
      <c r="BT285" s="118"/>
      <c r="BU285" s="118"/>
    </row>
    <row r="286" spans="15:73"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  <c r="BH286" s="118"/>
      <c r="BI286" s="118"/>
      <c r="BJ286" s="118"/>
      <c r="BK286" s="118"/>
      <c r="BL286" s="118"/>
      <c r="BM286" s="118"/>
      <c r="BN286" s="118"/>
      <c r="BO286" s="118"/>
      <c r="BP286" s="118"/>
      <c r="BQ286" s="118"/>
      <c r="BR286" s="118"/>
      <c r="BS286" s="118"/>
      <c r="BT286" s="118"/>
      <c r="BU286" s="118"/>
    </row>
    <row r="287" spans="15:73"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  <c r="BM287" s="118"/>
      <c r="BN287" s="118"/>
      <c r="BO287" s="118"/>
      <c r="BP287" s="118"/>
      <c r="BQ287" s="118"/>
      <c r="BR287" s="118"/>
      <c r="BS287" s="118"/>
      <c r="BT287" s="118"/>
      <c r="BU287" s="118"/>
    </row>
    <row r="288" spans="15:73"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8"/>
      <c r="BD288" s="118"/>
      <c r="BE288" s="118"/>
      <c r="BF288" s="118"/>
      <c r="BG288" s="118"/>
      <c r="BH288" s="118"/>
      <c r="BI288" s="118"/>
      <c r="BJ288" s="118"/>
      <c r="BK288" s="118"/>
      <c r="BL288" s="118"/>
      <c r="BM288" s="118"/>
      <c r="BN288" s="118"/>
      <c r="BO288" s="118"/>
      <c r="BP288" s="118"/>
      <c r="BQ288" s="118"/>
      <c r="BR288" s="118"/>
      <c r="BS288" s="118"/>
      <c r="BT288" s="118"/>
      <c r="BU288" s="118"/>
    </row>
    <row r="289" spans="15:73"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8"/>
      <c r="BD289" s="118"/>
      <c r="BE289" s="118"/>
      <c r="BF289" s="118"/>
      <c r="BG289" s="118"/>
      <c r="BH289" s="118"/>
      <c r="BI289" s="118"/>
      <c r="BJ289" s="118"/>
      <c r="BK289" s="118"/>
      <c r="BL289" s="118"/>
      <c r="BM289" s="118"/>
      <c r="BN289" s="118"/>
      <c r="BO289" s="118"/>
      <c r="BP289" s="118"/>
      <c r="BQ289" s="118"/>
      <c r="BR289" s="118"/>
      <c r="BS289" s="118"/>
      <c r="BT289" s="118"/>
      <c r="BU289" s="118"/>
    </row>
    <row r="290" spans="15:73"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  <c r="BH290" s="118"/>
      <c r="BI290" s="118"/>
      <c r="BJ290" s="118"/>
      <c r="BK290" s="118"/>
      <c r="BL290" s="118"/>
      <c r="BM290" s="118"/>
      <c r="BN290" s="118"/>
      <c r="BO290" s="118"/>
      <c r="BP290" s="118"/>
      <c r="BQ290" s="118"/>
      <c r="BR290" s="118"/>
      <c r="BS290" s="118"/>
      <c r="BT290" s="118"/>
      <c r="BU290" s="118"/>
    </row>
    <row r="291" spans="15:73"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8"/>
      <c r="BD291" s="118"/>
      <c r="BE291" s="118"/>
      <c r="BF291" s="118"/>
      <c r="BG291" s="118"/>
      <c r="BH291" s="118"/>
      <c r="BI291" s="118"/>
      <c r="BJ291" s="118"/>
      <c r="BK291" s="118"/>
      <c r="BL291" s="118"/>
      <c r="BM291" s="118"/>
      <c r="BN291" s="118"/>
      <c r="BO291" s="118"/>
      <c r="BP291" s="118"/>
      <c r="BQ291" s="118"/>
      <c r="BR291" s="118"/>
      <c r="BS291" s="118"/>
      <c r="BT291" s="118"/>
      <c r="BU291" s="118"/>
    </row>
    <row r="292" spans="15:73"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8"/>
      <c r="BD292" s="118"/>
      <c r="BE292" s="118"/>
      <c r="BF292" s="118"/>
      <c r="BG292" s="118"/>
      <c r="BH292" s="118"/>
      <c r="BI292" s="118"/>
      <c r="BJ292" s="118"/>
      <c r="BK292" s="118"/>
      <c r="BL292" s="118"/>
      <c r="BM292" s="118"/>
      <c r="BN292" s="118"/>
      <c r="BO292" s="118"/>
      <c r="BP292" s="118"/>
      <c r="BQ292" s="118"/>
      <c r="BR292" s="118"/>
      <c r="BS292" s="118"/>
      <c r="BT292" s="118"/>
      <c r="BU292" s="118"/>
    </row>
    <row r="293" spans="15:73"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8"/>
      <c r="BD293" s="118"/>
      <c r="BE293" s="118"/>
      <c r="BF293" s="118"/>
      <c r="BG293" s="118"/>
      <c r="BH293" s="118"/>
      <c r="BI293" s="118"/>
      <c r="BJ293" s="118"/>
      <c r="BK293" s="118"/>
      <c r="BL293" s="118"/>
      <c r="BM293" s="118"/>
      <c r="BN293" s="118"/>
      <c r="BO293" s="118"/>
      <c r="BP293" s="118"/>
      <c r="BQ293" s="118"/>
      <c r="BR293" s="118"/>
      <c r="BS293" s="118"/>
      <c r="BT293" s="118"/>
      <c r="BU293" s="118"/>
    </row>
    <row r="294" spans="15:73"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8"/>
      <c r="BD294" s="118"/>
      <c r="BE294" s="118"/>
      <c r="BF294" s="118"/>
      <c r="BG294" s="118"/>
      <c r="BH294" s="118"/>
      <c r="BI294" s="118"/>
      <c r="BJ294" s="118"/>
      <c r="BK294" s="118"/>
      <c r="BL294" s="118"/>
      <c r="BM294" s="118"/>
      <c r="BN294" s="118"/>
      <c r="BO294" s="118"/>
      <c r="BP294" s="118"/>
      <c r="BQ294" s="118"/>
      <c r="BR294" s="118"/>
      <c r="BS294" s="118"/>
      <c r="BT294" s="118"/>
      <c r="BU294" s="118"/>
    </row>
    <row r="295" spans="15:73"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8"/>
      <c r="BD295" s="118"/>
      <c r="BE295" s="118"/>
      <c r="BF295" s="118"/>
      <c r="BG295" s="118"/>
      <c r="BH295" s="118"/>
      <c r="BI295" s="118"/>
      <c r="BJ295" s="118"/>
      <c r="BK295" s="118"/>
      <c r="BL295" s="118"/>
      <c r="BM295" s="118"/>
      <c r="BN295" s="118"/>
      <c r="BO295" s="118"/>
      <c r="BP295" s="118"/>
      <c r="BQ295" s="118"/>
      <c r="BR295" s="118"/>
      <c r="BS295" s="118"/>
      <c r="BT295" s="118"/>
      <c r="BU295" s="118"/>
    </row>
    <row r="296" spans="15:73"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  <c r="BH296" s="118"/>
      <c r="BI296" s="118"/>
      <c r="BJ296" s="118"/>
      <c r="BK296" s="118"/>
      <c r="BL296" s="118"/>
      <c r="BM296" s="118"/>
      <c r="BN296" s="118"/>
      <c r="BO296" s="118"/>
      <c r="BP296" s="118"/>
      <c r="BQ296" s="118"/>
      <c r="BR296" s="118"/>
      <c r="BS296" s="118"/>
      <c r="BT296" s="118"/>
      <c r="BU296" s="118"/>
    </row>
    <row r="297" spans="15:73"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8"/>
      <c r="BD297" s="118"/>
      <c r="BE297" s="118"/>
      <c r="BF297" s="118"/>
      <c r="BG297" s="118"/>
      <c r="BH297" s="118"/>
      <c r="BI297" s="118"/>
      <c r="BJ297" s="118"/>
      <c r="BK297" s="118"/>
      <c r="BL297" s="118"/>
      <c r="BM297" s="118"/>
      <c r="BN297" s="118"/>
      <c r="BO297" s="118"/>
      <c r="BP297" s="118"/>
      <c r="BQ297" s="118"/>
      <c r="BR297" s="118"/>
      <c r="BS297" s="118"/>
      <c r="BT297" s="118"/>
      <c r="BU297" s="118"/>
    </row>
    <row r="298" spans="15:73"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8"/>
      <c r="BD298" s="118"/>
      <c r="BE298" s="118"/>
      <c r="BF298" s="118"/>
      <c r="BG298" s="118"/>
      <c r="BH298" s="118"/>
      <c r="BI298" s="118"/>
      <c r="BJ298" s="118"/>
      <c r="BK298" s="118"/>
      <c r="BL298" s="118"/>
      <c r="BM298" s="118"/>
      <c r="BN298" s="118"/>
      <c r="BO298" s="118"/>
      <c r="BP298" s="118"/>
      <c r="BQ298" s="118"/>
      <c r="BR298" s="118"/>
      <c r="BS298" s="118"/>
      <c r="BT298" s="118"/>
      <c r="BU298" s="118"/>
    </row>
    <row r="299" spans="15:73"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8"/>
      <c r="BD299" s="118"/>
      <c r="BE299" s="118"/>
      <c r="BF299" s="118"/>
      <c r="BG299" s="118"/>
      <c r="BH299" s="118"/>
      <c r="BI299" s="118"/>
      <c r="BJ299" s="118"/>
      <c r="BK299" s="118"/>
      <c r="BL299" s="118"/>
      <c r="BM299" s="118"/>
      <c r="BN299" s="118"/>
      <c r="BO299" s="118"/>
      <c r="BP299" s="118"/>
      <c r="BQ299" s="118"/>
      <c r="BR299" s="118"/>
      <c r="BS299" s="118"/>
      <c r="BT299" s="118"/>
      <c r="BU299" s="118"/>
    </row>
    <row r="300" spans="15:73"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8"/>
      <c r="BD300" s="118"/>
      <c r="BE300" s="118"/>
      <c r="BF300" s="118"/>
      <c r="BG300" s="118"/>
      <c r="BH300" s="118"/>
      <c r="BI300" s="118"/>
      <c r="BJ300" s="118"/>
      <c r="BK300" s="118"/>
      <c r="BL300" s="118"/>
      <c r="BM300" s="118"/>
      <c r="BN300" s="118"/>
      <c r="BO300" s="118"/>
      <c r="BP300" s="118"/>
      <c r="BQ300" s="118"/>
      <c r="BR300" s="118"/>
      <c r="BS300" s="118"/>
      <c r="BT300" s="118"/>
      <c r="BU300" s="118"/>
    </row>
    <row r="301" spans="15:73"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  <c r="BH301" s="118"/>
      <c r="BI301" s="118"/>
      <c r="BJ301" s="118"/>
      <c r="BK301" s="118"/>
      <c r="BL301" s="118"/>
      <c r="BM301" s="118"/>
      <c r="BN301" s="118"/>
      <c r="BO301" s="118"/>
      <c r="BP301" s="118"/>
      <c r="BQ301" s="118"/>
      <c r="BR301" s="118"/>
      <c r="BS301" s="118"/>
      <c r="BT301" s="118"/>
      <c r="BU301" s="118"/>
    </row>
    <row r="302" spans="15:73"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  <c r="BH302" s="118"/>
      <c r="BI302" s="118"/>
      <c r="BJ302" s="118"/>
      <c r="BK302" s="118"/>
      <c r="BL302" s="118"/>
      <c r="BM302" s="118"/>
      <c r="BN302" s="118"/>
      <c r="BO302" s="118"/>
      <c r="BP302" s="118"/>
      <c r="BQ302" s="118"/>
      <c r="BR302" s="118"/>
      <c r="BS302" s="118"/>
      <c r="BT302" s="118"/>
      <c r="BU302" s="118"/>
    </row>
    <row r="303" spans="15:73"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18"/>
      <c r="BC303" s="118"/>
      <c r="BD303" s="118"/>
      <c r="BE303" s="118"/>
      <c r="BF303" s="118"/>
      <c r="BG303" s="118"/>
      <c r="BH303" s="118"/>
      <c r="BI303" s="118"/>
      <c r="BJ303" s="118"/>
      <c r="BK303" s="118"/>
      <c r="BL303" s="118"/>
      <c r="BM303" s="118"/>
      <c r="BN303" s="118"/>
      <c r="BO303" s="118"/>
      <c r="BP303" s="118"/>
      <c r="BQ303" s="118"/>
      <c r="BR303" s="118"/>
      <c r="BS303" s="118"/>
      <c r="BT303" s="118"/>
      <c r="BU303" s="118"/>
    </row>
    <row r="304" spans="15:73"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  <c r="BI304" s="118"/>
      <c r="BJ304" s="118"/>
      <c r="BK304" s="118"/>
      <c r="BL304" s="118"/>
      <c r="BM304" s="118"/>
      <c r="BN304" s="118"/>
      <c r="BO304" s="118"/>
      <c r="BP304" s="118"/>
      <c r="BQ304" s="118"/>
      <c r="BR304" s="118"/>
      <c r="BS304" s="118"/>
      <c r="BT304" s="118"/>
      <c r="BU304" s="118"/>
    </row>
    <row r="305" spans="15:73"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8"/>
      <c r="BD305" s="118"/>
      <c r="BE305" s="118"/>
      <c r="BF305" s="118"/>
      <c r="BG305" s="118"/>
      <c r="BH305" s="118"/>
      <c r="BI305" s="118"/>
      <c r="BJ305" s="118"/>
      <c r="BK305" s="118"/>
      <c r="BL305" s="118"/>
      <c r="BM305" s="118"/>
      <c r="BN305" s="118"/>
      <c r="BO305" s="118"/>
      <c r="BP305" s="118"/>
      <c r="BQ305" s="118"/>
      <c r="BR305" s="118"/>
      <c r="BS305" s="118"/>
      <c r="BT305" s="118"/>
      <c r="BU305" s="118"/>
    </row>
    <row r="306" spans="15:73"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  <c r="BH306" s="118"/>
      <c r="BI306" s="118"/>
      <c r="BJ306" s="118"/>
      <c r="BK306" s="118"/>
      <c r="BL306" s="118"/>
      <c r="BM306" s="118"/>
      <c r="BN306" s="118"/>
      <c r="BO306" s="118"/>
      <c r="BP306" s="118"/>
      <c r="BQ306" s="118"/>
      <c r="BR306" s="118"/>
      <c r="BS306" s="118"/>
      <c r="BT306" s="118"/>
      <c r="BU306" s="118"/>
    </row>
    <row r="307" spans="15:73"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8"/>
      <c r="BD307" s="118"/>
      <c r="BE307" s="118"/>
      <c r="BF307" s="118"/>
      <c r="BG307" s="118"/>
      <c r="BH307" s="118"/>
      <c r="BI307" s="118"/>
      <c r="BJ307" s="118"/>
      <c r="BK307" s="118"/>
      <c r="BL307" s="118"/>
      <c r="BM307" s="118"/>
      <c r="BN307" s="118"/>
      <c r="BO307" s="118"/>
      <c r="BP307" s="118"/>
      <c r="BQ307" s="118"/>
      <c r="BR307" s="118"/>
      <c r="BS307" s="118"/>
      <c r="BT307" s="118"/>
      <c r="BU307" s="118"/>
    </row>
    <row r="308" spans="15:73"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8"/>
      <c r="BD308" s="118"/>
      <c r="BE308" s="118"/>
      <c r="BF308" s="118"/>
      <c r="BG308" s="118"/>
      <c r="BH308" s="118"/>
      <c r="BI308" s="118"/>
      <c r="BJ308" s="118"/>
      <c r="BK308" s="118"/>
      <c r="BL308" s="118"/>
      <c r="BM308" s="118"/>
      <c r="BN308" s="118"/>
      <c r="BO308" s="118"/>
      <c r="BP308" s="118"/>
      <c r="BQ308" s="118"/>
      <c r="BR308" s="118"/>
      <c r="BS308" s="118"/>
      <c r="BT308" s="118"/>
      <c r="BU308" s="118"/>
    </row>
    <row r="309" spans="15:73"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8"/>
      <c r="BD309" s="118"/>
      <c r="BE309" s="118"/>
      <c r="BF309" s="118"/>
      <c r="BG309" s="118"/>
      <c r="BH309" s="118"/>
      <c r="BI309" s="118"/>
      <c r="BJ309" s="118"/>
      <c r="BK309" s="118"/>
      <c r="BL309" s="118"/>
      <c r="BM309" s="118"/>
      <c r="BN309" s="118"/>
      <c r="BO309" s="118"/>
      <c r="BP309" s="118"/>
      <c r="BQ309" s="118"/>
      <c r="BR309" s="118"/>
      <c r="BS309" s="118"/>
      <c r="BT309" s="118"/>
      <c r="BU309" s="118"/>
    </row>
    <row r="310" spans="15:73"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8"/>
      <c r="BD310" s="118"/>
      <c r="BE310" s="118"/>
      <c r="BF310" s="118"/>
      <c r="BG310" s="118"/>
      <c r="BH310" s="118"/>
      <c r="BI310" s="118"/>
      <c r="BJ310" s="118"/>
      <c r="BK310" s="118"/>
      <c r="BL310" s="118"/>
      <c r="BM310" s="118"/>
      <c r="BN310" s="118"/>
      <c r="BO310" s="118"/>
      <c r="BP310" s="118"/>
      <c r="BQ310" s="118"/>
      <c r="BR310" s="118"/>
      <c r="BS310" s="118"/>
      <c r="BT310" s="118"/>
      <c r="BU310" s="118"/>
    </row>
    <row r="311" spans="15:73"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8"/>
      <c r="BD311" s="118"/>
      <c r="BE311" s="118"/>
      <c r="BF311" s="118"/>
      <c r="BG311" s="118"/>
      <c r="BH311" s="118"/>
      <c r="BI311" s="118"/>
      <c r="BJ311" s="118"/>
      <c r="BK311" s="118"/>
      <c r="BL311" s="118"/>
      <c r="BM311" s="118"/>
      <c r="BN311" s="118"/>
      <c r="BO311" s="118"/>
      <c r="BP311" s="118"/>
      <c r="BQ311" s="118"/>
      <c r="BR311" s="118"/>
      <c r="BS311" s="118"/>
      <c r="BT311" s="118"/>
      <c r="BU311" s="118"/>
    </row>
    <row r="312" spans="15:73"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8"/>
      <c r="BD312" s="118"/>
      <c r="BE312" s="118"/>
      <c r="BF312" s="118"/>
      <c r="BG312" s="118"/>
      <c r="BH312" s="118"/>
      <c r="BI312" s="118"/>
      <c r="BJ312" s="118"/>
      <c r="BK312" s="118"/>
      <c r="BL312" s="118"/>
      <c r="BM312" s="118"/>
      <c r="BN312" s="118"/>
      <c r="BO312" s="118"/>
      <c r="BP312" s="118"/>
      <c r="BQ312" s="118"/>
      <c r="BR312" s="118"/>
      <c r="BS312" s="118"/>
      <c r="BT312" s="118"/>
      <c r="BU312" s="118"/>
    </row>
    <row r="313" spans="15:73"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18"/>
      <c r="BD313" s="118"/>
      <c r="BE313" s="118"/>
      <c r="BF313" s="118"/>
      <c r="BG313" s="118"/>
      <c r="BH313" s="118"/>
      <c r="BI313" s="118"/>
      <c r="BJ313" s="118"/>
      <c r="BK313" s="118"/>
      <c r="BL313" s="118"/>
      <c r="BM313" s="118"/>
      <c r="BN313" s="118"/>
      <c r="BO313" s="118"/>
      <c r="BP313" s="118"/>
      <c r="BQ313" s="118"/>
      <c r="BR313" s="118"/>
      <c r="BS313" s="118"/>
      <c r="BT313" s="118"/>
      <c r="BU313" s="118"/>
    </row>
    <row r="314" spans="15:73"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  <c r="BH314" s="118"/>
      <c r="BI314" s="118"/>
      <c r="BJ314" s="118"/>
      <c r="BK314" s="118"/>
      <c r="BL314" s="118"/>
      <c r="BM314" s="118"/>
      <c r="BN314" s="118"/>
      <c r="BO314" s="118"/>
      <c r="BP314" s="118"/>
      <c r="BQ314" s="118"/>
      <c r="BR314" s="118"/>
      <c r="BS314" s="118"/>
      <c r="BT314" s="118"/>
      <c r="BU314" s="118"/>
    </row>
    <row r="315" spans="15:73"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8"/>
      <c r="BD315" s="118"/>
      <c r="BE315" s="118"/>
      <c r="BF315" s="118"/>
      <c r="BG315" s="118"/>
      <c r="BH315" s="118"/>
      <c r="BI315" s="118"/>
      <c r="BJ315" s="118"/>
      <c r="BK315" s="118"/>
      <c r="BL315" s="118"/>
      <c r="BM315" s="118"/>
      <c r="BN315" s="118"/>
      <c r="BO315" s="118"/>
      <c r="BP315" s="118"/>
      <c r="BQ315" s="118"/>
      <c r="BR315" s="118"/>
      <c r="BS315" s="118"/>
      <c r="BT315" s="118"/>
      <c r="BU315" s="118"/>
    </row>
    <row r="316" spans="15:73"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18"/>
      <c r="BD316" s="118"/>
      <c r="BE316" s="118"/>
      <c r="BF316" s="118"/>
      <c r="BG316" s="118"/>
      <c r="BH316" s="118"/>
      <c r="BI316" s="118"/>
      <c r="BJ316" s="118"/>
      <c r="BK316" s="118"/>
      <c r="BL316" s="118"/>
      <c r="BM316" s="118"/>
      <c r="BN316" s="118"/>
      <c r="BO316" s="118"/>
      <c r="BP316" s="118"/>
      <c r="BQ316" s="118"/>
      <c r="BR316" s="118"/>
      <c r="BS316" s="118"/>
      <c r="BT316" s="118"/>
      <c r="BU316" s="118"/>
    </row>
    <row r="317" spans="15:73"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  <c r="BH317" s="118"/>
      <c r="BI317" s="118"/>
      <c r="BJ317" s="118"/>
      <c r="BK317" s="118"/>
      <c r="BL317" s="118"/>
      <c r="BM317" s="118"/>
      <c r="BN317" s="118"/>
      <c r="BO317" s="118"/>
      <c r="BP317" s="118"/>
      <c r="BQ317" s="118"/>
      <c r="BR317" s="118"/>
      <c r="BS317" s="118"/>
      <c r="BT317" s="118"/>
      <c r="BU317" s="118"/>
    </row>
    <row r="318" spans="15:73"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8"/>
      <c r="BD318" s="118"/>
      <c r="BE318" s="118"/>
      <c r="BF318" s="118"/>
      <c r="BG318" s="118"/>
      <c r="BH318" s="118"/>
      <c r="BI318" s="118"/>
      <c r="BJ318" s="118"/>
      <c r="BK318" s="118"/>
      <c r="BL318" s="118"/>
      <c r="BM318" s="118"/>
      <c r="BN318" s="118"/>
      <c r="BO318" s="118"/>
      <c r="BP318" s="118"/>
      <c r="BQ318" s="118"/>
      <c r="BR318" s="118"/>
      <c r="BS318" s="118"/>
      <c r="BT318" s="118"/>
      <c r="BU318" s="118"/>
    </row>
    <row r="319" spans="15:73"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8"/>
      <c r="BD319" s="118"/>
      <c r="BE319" s="118"/>
      <c r="BF319" s="118"/>
      <c r="BG319" s="118"/>
      <c r="BH319" s="118"/>
      <c r="BI319" s="118"/>
      <c r="BJ319" s="118"/>
      <c r="BK319" s="118"/>
      <c r="BL319" s="118"/>
      <c r="BM319" s="118"/>
      <c r="BN319" s="118"/>
      <c r="BO319" s="118"/>
      <c r="BP319" s="118"/>
      <c r="BQ319" s="118"/>
      <c r="BR319" s="118"/>
      <c r="BS319" s="118"/>
      <c r="BT319" s="118"/>
      <c r="BU319" s="118"/>
    </row>
    <row r="320" spans="15:73"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8"/>
      <c r="BF320" s="118"/>
      <c r="BG320" s="118"/>
      <c r="BH320" s="118"/>
      <c r="BI320" s="118"/>
      <c r="BJ320" s="118"/>
      <c r="BK320" s="118"/>
      <c r="BL320" s="118"/>
      <c r="BM320" s="118"/>
      <c r="BN320" s="118"/>
      <c r="BO320" s="118"/>
      <c r="BP320" s="118"/>
      <c r="BQ320" s="118"/>
      <c r="BR320" s="118"/>
      <c r="BS320" s="118"/>
      <c r="BT320" s="118"/>
      <c r="BU320" s="118"/>
    </row>
    <row r="321" spans="15:73"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  <c r="BB321" s="118"/>
      <c r="BC321" s="118"/>
      <c r="BD321" s="118"/>
      <c r="BE321" s="118"/>
      <c r="BF321" s="118"/>
      <c r="BG321" s="118"/>
      <c r="BH321" s="118"/>
      <c r="BI321" s="118"/>
      <c r="BJ321" s="118"/>
      <c r="BK321" s="118"/>
      <c r="BL321" s="118"/>
      <c r="BM321" s="118"/>
      <c r="BN321" s="118"/>
      <c r="BO321" s="118"/>
      <c r="BP321" s="118"/>
      <c r="BQ321" s="118"/>
      <c r="BR321" s="118"/>
      <c r="BS321" s="118"/>
      <c r="BT321" s="118"/>
      <c r="BU321" s="118"/>
    </row>
    <row r="322" spans="15:73"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  <c r="BH322" s="118"/>
      <c r="BI322" s="118"/>
      <c r="BJ322" s="118"/>
      <c r="BK322" s="118"/>
      <c r="BL322" s="118"/>
      <c r="BM322" s="118"/>
      <c r="BN322" s="118"/>
      <c r="BO322" s="118"/>
      <c r="BP322" s="118"/>
      <c r="BQ322" s="118"/>
      <c r="BR322" s="118"/>
      <c r="BS322" s="118"/>
      <c r="BT322" s="118"/>
      <c r="BU322" s="118"/>
    </row>
    <row r="323" spans="15:73"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  <c r="BB323" s="118"/>
      <c r="BC323" s="118"/>
      <c r="BD323" s="118"/>
      <c r="BE323" s="118"/>
      <c r="BF323" s="118"/>
      <c r="BG323" s="118"/>
      <c r="BH323" s="118"/>
      <c r="BI323" s="118"/>
      <c r="BJ323" s="118"/>
      <c r="BK323" s="118"/>
      <c r="BL323" s="118"/>
      <c r="BM323" s="118"/>
      <c r="BN323" s="118"/>
      <c r="BO323" s="118"/>
      <c r="BP323" s="118"/>
      <c r="BQ323" s="118"/>
      <c r="BR323" s="118"/>
      <c r="BS323" s="118"/>
      <c r="BT323" s="118"/>
      <c r="BU323" s="118"/>
    </row>
    <row r="324" spans="15:73"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18"/>
      <c r="BD324" s="118"/>
      <c r="BE324" s="118"/>
      <c r="BF324" s="118"/>
      <c r="BG324" s="118"/>
      <c r="BH324" s="118"/>
      <c r="BI324" s="118"/>
      <c r="BJ324" s="118"/>
      <c r="BK324" s="118"/>
      <c r="BL324" s="118"/>
      <c r="BM324" s="118"/>
      <c r="BN324" s="118"/>
      <c r="BO324" s="118"/>
      <c r="BP324" s="118"/>
      <c r="BQ324" s="118"/>
      <c r="BR324" s="118"/>
      <c r="BS324" s="118"/>
      <c r="BT324" s="118"/>
      <c r="BU324" s="118"/>
    </row>
    <row r="325" spans="15:73"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  <c r="BB325" s="118"/>
      <c r="BC325" s="118"/>
      <c r="BD325" s="118"/>
      <c r="BE325" s="118"/>
      <c r="BF325" s="118"/>
      <c r="BG325" s="118"/>
      <c r="BH325" s="118"/>
      <c r="BI325" s="118"/>
      <c r="BJ325" s="118"/>
      <c r="BK325" s="118"/>
      <c r="BL325" s="118"/>
      <c r="BM325" s="118"/>
      <c r="BN325" s="118"/>
      <c r="BO325" s="118"/>
      <c r="BP325" s="118"/>
      <c r="BQ325" s="118"/>
      <c r="BR325" s="118"/>
      <c r="BS325" s="118"/>
      <c r="BT325" s="118"/>
      <c r="BU325" s="118"/>
    </row>
    <row r="326" spans="15:73"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  <c r="BB326" s="118"/>
      <c r="BC326" s="118"/>
      <c r="BD326" s="118"/>
      <c r="BE326" s="118"/>
      <c r="BF326" s="118"/>
      <c r="BG326" s="118"/>
      <c r="BH326" s="118"/>
      <c r="BI326" s="118"/>
      <c r="BJ326" s="118"/>
      <c r="BK326" s="118"/>
      <c r="BL326" s="118"/>
      <c r="BM326" s="118"/>
      <c r="BN326" s="118"/>
      <c r="BO326" s="118"/>
      <c r="BP326" s="118"/>
      <c r="BQ326" s="118"/>
      <c r="BR326" s="118"/>
      <c r="BS326" s="118"/>
      <c r="BT326" s="118"/>
      <c r="BU326" s="118"/>
    </row>
    <row r="327" spans="15:73"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  <c r="BB327" s="118"/>
      <c r="BC327" s="118"/>
      <c r="BD327" s="118"/>
      <c r="BE327" s="118"/>
      <c r="BF327" s="118"/>
      <c r="BG327" s="118"/>
      <c r="BH327" s="118"/>
      <c r="BI327" s="118"/>
      <c r="BJ327" s="118"/>
      <c r="BK327" s="118"/>
      <c r="BL327" s="118"/>
      <c r="BM327" s="118"/>
      <c r="BN327" s="118"/>
      <c r="BO327" s="118"/>
      <c r="BP327" s="118"/>
      <c r="BQ327" s="118"/>
      <c r="BR327" s="118"/>
      <c r="BS327" s="118"/>
      <c r="BT327" s="118"/>
      <c r="BU327" s="118"/>
    </row>
    <row r="328" spans="15:73"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8"/>
      <c r="BD328" s="118"/>
      <c r="BE328" s="118"/>
      <c r="BF328" s="118"/>
      <c r="BG328" s="118"/>
      <c r="BH328" s="118"/>
      <c r="BI328" s="118"/>
      <c r="BJ328" s="118"/>
      <c r="BK328" s="118"/>
      <c r="BL328" s="118"/>
      <c r="BM328" s="118"/>
      <c r="BN328" s="118"/>
      <c r="BO328" s="118"/>
      <c r="BP328" s="118"/>
      <c r="BQ328" s="118"/>
      <c r="BR328" s="118"/>
      <c r="BS328" s="118"/>
      <c r="BT328" s="118"/>
      <c r="BU328" s="118"/>
    </row>
    <row r="329" spans="15:73"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</row>
    <row r="330" spans="15:73"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</row>
    <row r="331" spans="15:73"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</row>
    <row r="332" spans="15:73"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</row>
    <row r="333" spans="15:73"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</row>
    <row r="334" spans="15:73"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</row>
    <row r="335" spans="15:73"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</row>
    <row r="336" spans="15:73"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</row>
    <row r="337" spans="15:73"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</row>
    <row r="338" spans="15:73"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</row>
    <row r="339" spans="15:73"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</row>
    <row r="340" spans="15:73"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  <c r="BB340" s="118"/>
      <c r="BC340" s="118"/>
      <c r="BD340" s="118"/>
      <c r="BE340" s="118"/>
      <c r="BF340" s="118"/>
      <c r="BG340" s="118"/>
      <c r="BH340" s="118"/>
      <c r="BI340" s="118"/>
      <c r="BJ340" s="118"/>
      <c r="BK340" s="118"/>
      <c r="BL340" s="118"/>
      <c r="BM340" s="118"/>
      <c r="BN340" s="118"/>
      <c r="BO340" s="118"/>
      <c r="BP340" s="118"/>
      <c r="BQ340" s="118"/>
      <c r="BR340" s="118"/>
      <c r="BS340" s="118"/>
      <c r="BT340" s="118"/>
      <c r="BU340" s="118"/>
    </row>
    <row r="341" spans="15:73"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  <c r="BB341" s="118"/>
      <c r="BC341" s="118"/>
      <c r="BD341" s="118"/>
      <c r="BE341" s="118"/>
      <c r="BF341" s="118"/>
      <c r="BG341" s="118"/>
      <c r="BH341" s="118"/>
      <c r="BI341" s="118"/>
      <c r="BJ341" s="118"/>
      <c r="BK341" s="118"/>
      <c r="BL341" s="118"/>
      <c r="BM341" s="118"/>
      <c r="BN341" s="118"/>
      <c r="BO341" s="118"/>
      <c r="BP341" s="118"/>
      <c r="BQ341" s="118"/>
      <c r="BR341" s="118"/>
      <c r="BS341" s="118"/>
      <c r="BT341" s="118"/>
      <c r="BU341" s="118"/>
    </row>
    <row r="342" spans="15:73"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18"/>
      <c r="BD342" s="118"/>
      <c r="BE342" s="118"/>
      <c r="BF342" s="118"/>
      <c r="BG342" s="118"/>
      <c r="BH342" s="118"/>
      <c r="BI342" s="118"/>
      <c r="BJ342" s="118"/>
      <c r="BK342" s="118"/>
      <c r="BL342" s="118"/>
      <c r="BM342" s="118"/>
      <c r="BN342" s="118"/>
      <c r="BO342" s="118"/>
      <c r="BP342" s="118"/>
      <c r="BQ342" s="118"/>
      <c r="BR342" s="118"/>
      <c r="BS342" s="118"/>
      <c r="BT342" s="118"/>
      <c r="BU342" s="118"/>
    </row>
    <row r="343" spans="15:73"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18"/>
      <c r="BD343" s="118"/>
      <c r="BE343" s="118"/>
      <c r="BF343" s="118"/>
      <c r="BG343" s="118"/>
      <c r="BH343" s="118"/>
      <c r="BI343" s="118"/>
      <c r="BJ343" s="118"/>
      <c r="BK343" s="118"/>
      <c r="BL343" s="118"/>
      <c r="BM343" s="118"/>
      <c r="BN343" s="118"/>
      <c r="BO343" s="118"/>
      <c r="BP343" s="118"/>
      <c r="BQ343" s="118"/>
      <c r="BR343" s="118"/>
      <c r="BS343" s="118"/>
      <c r="BT343" s="118"/>
      <c r="BU343" s="118"/>
    </row>
    <row r="344" spans="15:73"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  <c r="BB344" s="118"/>
      <c r="BC344" s="118"/>
      <c r="BD344" s="118"/>
      <c r="BE344" s="118"/>
      <c r="BF344" s="118"/>
      <c r="BG344" s="118"/>
      <c r="BH344" s="118"/>
      <c r="BI344" s="118"/>
      <c r="BJ344" s="118"/>
      <c r="BK344" s="118"/>
      <c r="BL344" s="118"/>
      <c r="BM344" s="118"/>
      <c r="BN344" s="118"/>
      <c r="BO344" s="118"/>
      <c r="BP344" s="118"/>
      <c r="BQ344" s="118"/>
      <c r="BR344" s="118"/>
      <c r="BS344" s="118"/>
      <c r="BT344" s="118"/>
      <c r="BU344" s="118"/>
    </row>
    <row r="345" spans="15:73"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  <c r="BB345" s="118"/>
      <c r="BC345" s="118"/>
      <c r="BD345" s="118"/>
      <c r="BE345" s="118"/>
      <c r="BF345" s="118"/>
      <c r="BG345" s="118"/>
      <c r="BH345" s="118"/>
      <c r="BI345" s="118"/>
      <c r="BJ345" s="118"/>
      <c r="BK345" s="118"/>
      <c r="BL345" s="118"/>
      <c r="BM345" s="118"/>
      <c r="BN345" s="118"/>
      <c r="BO345" s="118"/>
      <c r="BP345" s="118"/>
      <c r="BQ345" s="118"/>
      <c r="BR345" s="118"/>
      <c r="BS345" s="118"/>
      <c r="BT345" s="118"/>
      <c r="BU345" s="118"/>
    </row>
    <row r="346" spans="15:73"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  <c r="BB346" s="118"/>
      <c r="BC346" s="118"/>
      <c r="BD346" s="118"/>
      <c r="BE346" s="118"/>
      <c r="BF346" s="118"/>
      <c r="BG346" s="118"/>
      <c r="BH346" s="118"/>
      <c r="BI346" s="118"/>
      <c r="BJ346" s="118"/>
      <c r="BK346" s="118"/>
      <c r="BL346" s="118"/>
      <c r="BM346" s="118"/>
      <c r="BN346" s="118"/>
      <c r="BO346" s="118"/>
      <c r="BP346" s="118"/>
      <c r="BQ346" s="118"/>
      <c r="BR346" s="118"/>
      <c r="BS346" s="118"/>
      <c r="BT346" s="118"/>
      <c r="BU346" s="118"/>
    </row>
    <row r="347" spans="15:73"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  <c r="BB347" s="118"/>
      <c r="BC347" s="118"/>
      <c r="BD347" s="118"/>
      <c r="BE347" s="118"/>
      <c r="BF347" s="118"/>
      <c r="BG347" s="118"/>
      <c r="BH347" s="118"/>
      <c r="BI347" s="118"/>
      <c r="BJ347" s="118"/>
      <c r="BK347" s="118"/>
      <c r="BL347" s="118"/>
      <c r="BM347" s="118"/>
      <c r="BN347" s="118"/>
      <c r="BO347" s="118"/>
      <c r="BP347" s="118"/>
      <c r="BQ347" s="118"/>
      <c r="BR347" s="118"/>
      <c r="BS347" s="118"/>
      <c r="BT347" s="118"/>
      <c r="BU347" s="118"/>
    </row>
    <row r="348" spans="15:73"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  <c r="BB348" s="118"/>
      <c r="BC348" s="118"/>
      <c r="BD348" s="118"/>
      <c r="BE348" s="118"/>
      <c r="BF348" s="118"/>
      <c r="BG348" s="118"/>
      <c r="BH348" s="118"/>
      <c r="BI348" s="118"/>
      <c r="BJ348" s="118"/>
      <c r="BK348" s="118"/>
      <c r="BL348" s="118"/>
      <c r="BM348" s="118"/>
      <c r="BN348" s="118"/>
      <c r="BO348" s="118"/>
      <c r="BP348" s="118"/>
      <c r="BQ348" s="118"/>
      <c r="BR348" s="118"/>
      <c r="BS348" s="118"/>
      <c r="BT348" s="118"/>
      <c r="BU348" s="118"/>
    </row>
    <row r="349" spans="15:73"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  <c r="BB349" s="118"/>
      <c r="BC349" s="118"/>
      <c r="BD349" s="118"/>
      <c r="BE349" s="118"/>
      <c r="BF349" s="118"/>
      <c r="BG349" s="118"/>
      <c r="BH349" s="118"/>
      <c r="BI349" s="118"/>
      <c r="BJ349" s="118"/>
      <c r="BK349" s="118"/>
      <c r="BL349" s="118"/>
      <c r="BM349" s="118"/>
      <c r="BN349" s="118"/>
      <c r="BO349" s="118"/>
      <c r="BP349" s="118"/>
      <c r="BQ349" s="118"/>
      <c r="BR349" s="118"/>
      <c r="BS349" s="118"/>
      <c r="BT349" s="118"/>
      <c r="BU349" s="118"/>
    </row>
    <row r="350" spans="15:73"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  <c r="BB350" s="118"/>
      <c r="BC350" s="118"/>
      <c r="BD350" s="118"/>
      <c r="BE350" s="118"/>
      <c r="BF350" s="118"/>
      <c r="BG350" s="118"/>
      <c r="BH350" s="118"/>
      <c r="BI350" s="118"/>
      <c r="BJ350" s="118"/>
      <c r="BK350" s="118"/>
      <c r="BL350" s="118"/>
      <c r="BM350" s="118"/>
      <c r="BN350" s="118"/>
      <c r="BO350" s="118"/>
      <c r="BP350" s="118"/>
      <c r="BQ350" s="118"/>
      <c r="BR350" s="118"/>
      <c r="BS350" s="118"/>
      <c r="BT350" s="118"/>
      <c r="BU350" s="118"/>
    </row>
    <row r="351" spans="15:73"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  <c r="BB351" s="118"/>
      <c r="BC351" s="118"/>
      <c r="BD351" s="118"/>
      <c r="BE351" s="118"/>
      <c r="BF351" s="118"/>
      <c r="BG351" s="118"/>
      <c r="BH351" s="118"/>
      <c r="BI351" s="118"/>
      <c r="BJ351" s="118"/>
      <c r="BK351" s="118"/>
      <c r="BL351" s="118"/>
      <c r="BM351" s="118"/>
      <c r="BN351" s="118"/>
      <c r="BO351" s="118"/>
      <c r="BP351" s="118"/>
      <c r="BQ351" s="118"/>
      <c r="BR351" s="118"/>
      <c r="BS351" s="118"/>
      <c r="BT351" s="118"/>
      <c r="BU351" s="118"/>
    </row>
    <row r="352" spans="15:73"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  <c r="BB352" s="118"/>
      <c r="BC352" s="118"/>
      <c r="BD352" s="118"/>
      <c r="BE352" s="118"/>
      <c r="BF352" s="118"/>
      <c r="BG352" s="118"/>
      <c r="BH352" s="118"/>
      <c r="BI352" s="118"/>
      <c r="BJ352" s="118"/>
      <c r="BK352" s="118"/>
      <c r="BL352" s="118"/>
      <c r="BM352" s="118"/>
      <c r="BN352" s="118"/>
      <c r="BO352" s="118"/>
      <c r="BP352" s="118"/>
      <c r="BQ352" s="118"/>
      <c r="BR352" s="118"/>
      <c r="BS352" s="118"/>
      <c r="BT352" s="118"/>
      <c r="BU352" s="118"/>
    </row>
    <row r="353" spans="15:73"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  <c r="BB353" s="118"/>
      <c r="BC353" s="118"/>
      <c r="BD353" s="118"/>
      <c r="BE353" s="118"/>
      <c r="BF353" s="118"/>
      <c r="BG353" s="118"/>
      <c r="BH353" s="118"/>
      <c r="BI353" s="118"/>
      <c r="BJ353" s="118"/>
      <c r="BK353" s="118"/>
      <c r="BL353" s="118"/>
      <c r="BM353" s="118"/>
      <c r="BN353" s="118"/>
      <c r="BO353" s="118"/>
      <c r="BP353" s="118"/>
      <c r="BQ353" s="118"/>
      <c r="BR353" s="118"/>
      <c r="BS353" s="118"/>
      <c r="BT353" s="118"/>
      <c r="BU353" s="118"/>
    </row>
    <row r="354" spans="15:73"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  <c r="BB354" s="118"/>
      <c r="BC354" s="118"/>
      <c r="BD354" s="118"/>
      <c r="BE354" s="118"/>
      <c r="BF354" s="118"/>
      <c r="BG354" s="118"/>
      <c r="BH354" s="118"/>
      <c r="BI354" s="118"/>
      <c r="BJ354" s="118"/>
      <c r="BK354" s="118"/>
      <c r="BL354" s="118"/>
      <c r="BM354" s="118"/>
      <c r="BN354" s="118"/>
      <c r="BO354" s="118"/>
      <c r="BP354" s="118"/>
      <c r="BQ354" s="118"/>
      <c r="BR354" s="118"/>
      <c r="BS354" s="118"/>
      <c r="BT354" s="118"/>
      <c r="BU354" s="118"/>
    </row>
    <row r="355" spans="15:73"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  <c r="BB355" s="118"/>
      <c r="BC355" s="118"/>
      <c r="BD355" s="118"/>
      <c r="BE355" s="118"/>
      <c r="BF355" s="118"/>
      <c r="BG355" s="118"/>
      <c r="BH355" s="118"/>
      <c r="BI355" s="118"/>
      <c r="BJ355" s="118"/>
      <c r="BK355" s="118"/>
      <c r="BL355" s="118"/>
      <c r="BM355" s="118"/>
      <c r="BN355" s="118"/>
      <c r="BO355" s="118"/>
      <c r="BP355" s="118"/>
      <c r="BQ355" s="118"/>
      <c r="BR355" s="118"/>
      <c r="BS355" s="118"/>
      <c r="BT355" s="118"/>
      <c r="BU355" s="118"/>
    </row>
    <row r="356" spans="15:73"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  <c r="BB356" s="118"/>
      <c r="BC356" s="118"/>
      <c r="BD356" s="118"/>
      <c r="BE356" s="118"/>
      <c r="BF356" s="118"/>
      <c r="BG356" s="118"/>
      <c r="BH356" s="118"/>
      <c r="BI356" s="118"/>
      <c r="BJ356" s="118"/>
      <c r="BK356" s="118"/>
      <c r="BL356" s="118"/>
      <c r="BM356" s="118"/>
      <c r="BN356" s="118"/>
      <c r="BO356" s="118"/>
      <c r="BP356" s="118"/>
      <c r="BQ356" s="118"/>
      <c r="BR356" s="118"/>
      <c r="BS356" s="118"/>
      <c r="BT356" s="118"/>
      <c r="BU356" s="118"/>
    </row>
    <row r="357" spans="15:73"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  <c r="BB357" s="118"/>
      <c r="BC357" s="118"/>
      <c r="BD357" s="118"/>
      <c r="BE357" s="118"/>
      <c r="BF357" s="118"/>
      <c r="BG357" s="118"/>
      <c r="BH357" s="118"/>
      <c r="BI357" s="118"/>
      <c r="BJ357" s="118"/>
      <c r="BK357" s="118"/>
      <c r="BL357" s="118"/>
      <c r="BM357" s="118"/>
      <c r="BN357" s="118"/>
      <c r="BO357" s="118"/>
      <c r="BP357" s="118"/>
      <c r="BQ357" s="118"/>
      <c r="BR357" s="118"/>
      <c r="BS357" s="118"/>
      <c r="BT357" s="118"/>
      <c r="BU357" s="118"/>
    </row>
    <row r="358" spans="15:73"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  <c r="BB358" s="118"/>
      <c r="BC358" s="118"/>
      <c r="BD358" s="118"/>
      <c r="BE358" s="118"/>
      <c r="BF358" s="118"/>
      <c r="BG358" s="118"/>
      <c r="BH358" s="118"/>
      <c r="BI358" s="118"/>
      <c r="BJ358" s="118"/>
      <c r="BK358" s="118"/>
      <c r="BL358" s="118"/>
      <c r="BM358" s="118"/>
      <c r="BN358" s="118"/>
      <c r="BO358" s="118"/>
      <c r="BP358" s="118"/>
      <c r="BQ358" s="118"/>
      <c r="BR358" s="118"/>
      <c r="BS358" s="118"/>
      <c r="BT358" s="118"/>
      <c r="BU358" s="118"/>
    </row>
    <row r="359" spans="15:73"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  <c r="BB359" s="118"/>
      <c r="BC359" s="118"/>
      <c r="BD359" s="118"/>
      <c r="BE359" s="118"/>
      <c r="BF359" s="118"/>
      <c r="BG359" s="118"/>
      <c r="BH359" s="118"/>
      <c r="BI359" s="118"/>
      <c r="BJ359" s="118"/>
      <c r="BK359" s="118"/>
      <c r="BL359" s="118"/>
      <c r="BM359" s="118"/>
      <c r="BN359" s="118"/>
      <c r="BO359" s="118"/>
      <c r="BP359" s="118"/>
      <c r="BQ359" s="118"/>
      <c r="BR359" s="118"/>
      <c r="BS359" s="118"/>
      <c r="BT359" s="118"/>
      <c r="BU359" s="118"/>
    </row>
    <row r="360" spans="15:73"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18"/>
      <c r="BB360" s="118"/>
      <c r="BC360" s="118"/>
      <c r="BD360" s="118"/>
      <c r="BE360" s="118"/>
      <c r="BF360" s="118"/>
      <c r="BG360" s="118"/>
      <c r="BH360" s="118"/>
      <c r="BI360" s="118"/>
      <c r="BJ360" s="118"/>
      <c r="BK360" s="118"/>
      <c r="BL360" s="118"/>
      <c r="BM360" s="118"/>
      <c r="BN360" s="118"/>
      <c r="BO360" s="118"/>
      <c r="BP360" s="118"/>
      <c r="BQ360" s="118"/>
      <c r="BR360" s="118"/>
      <c r="BS360" s="118"/>
      <c r="BT360" s="118"/>
      <c r="BU360" s="118"/>
    </row>
    <row r="361" spans="15:73"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8"/>
      <c r="AW361" s="118"/>
      <c r="AX361" s="118"/>
      <c r="AY361" s="118"/>
      <c r="AZ361" s="118"/>
      <c r="BA361" s="118"/>
      <c r="BB361" s="118"/>
      <c r="BC361" s="118"/>
      <c r="BD361" s="118"/>
      <c r="BE361" s="118"/>
      <c r="BF361" s="118"/>
      <c r="BG361" s="118"/>
      <c r="BH361" s="118"/>
      <c r="BI361" s="118"/>
      <c r="BJ361" s="118"/>
      <c r="BK361" s="118"/>
      <c r="BL361" s="118"/>
      <c r="BM361" s="118"/>
      <c r="BN361" s="118"/>
      <c r="BO361" s="118"/>
      <c r="BP361" s="118"/>
      <c r="BQ361" s="118"/>
      <c r="BR361" s="118"/>
      <c r="BS361" s="118"/>
      <c r="BT361" s="118"/>
      <c r="BU361" s="118"/>
    </row>
    <row r="362" spans="15:73"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  <c r="BB362" s="118"/>
      <c r="BC362" s="118"/>
      <c r="BD362" s="118"/>
      <c r="BE362" s="118"/>
      <c r="BF362" s="118"/>
      <c r="BG362" s="118"/>
      <c r="BH362" s="118"/>
      <c r="BI362" s="118"/>
      <c r="BJ362" s="118"/>
      <c r="BK362" s="118"/>
      <c r="BL362" s="118"/>
      <c r="BM362" s="118"/>
      <c r="BN362" s="118"/>
      <c r="BO362" s="118"/>
      <c r="BP362" s="118"/>
      <c r="BQ362" s="118"/>
      <c r="BR362" s="118"/>
      <c r="BS362" s="118"/>
      <c r="BT362" s="118"/>
      <c r="BU362" s="118"/>
    </row>
    <row r="363" spans="15:73"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118"/>
      <c r="AZ363" s="118"/>
      <c r="BA363" s="118"/>
      <c r="BB363" s="118"/>
      <c r="BC363" s="118"/>
      <c r="BD363" s="118"/>
      <c r="BE363" s="118"/>
      <c r="BF363" s="118"/>
      <c r="BG363" s="118"/>
      <c r="BH363" s="118"/>
      <c r="BI363" s="118"/>
      <c r="BJ363" s="118"/>
      <c r="BK363" s="118"/>
      <c r="BL363" s="118"/>
      <c r="BM363" s="118"/>
      <c r="BN363" s="118"/>
      <c r="BO363" s="118"/>
      <c r="BP363" s="118"/>
      <c r="BQ363" s="118"/>
      <c r="BR363" s="118"/>
      <c r="BS363" s="118"/>
      <c r="BT363" s="118"/>
      <c r="BU363" s="118"/>
    </row>
    <row r="364" spans="15:73"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  <c r="BB364" s="118"/>
      <c r="BC364" s="118"/>
      <c r="BD364" s="118"/>
      <c r="BE364" s="118"/>
      <c r="BF364" s="118"/>
      <c r="BG364" s="118"/>
      <c r="BH364" s="118"/>
      <c r="BI364" s="118"/>
      <c r="BJ364" s="118"/>
      <c r="BK364" s="118"/>
      <c r="BL364" s="118"/>
      <c r="BM364" s="118"/>
      <c r="BN364" s="118"/>
      <c r="BO364" s="118"/>
      <c r="BP364" s="118"/>
      <c r="BQ364" s="118"/>
      <c r="BR364" s="118"/>
      <c r="BS364" s="118"/>
      <c r="BT364" s="118"/>
      <c r="BU364" s="118"/>
    </row>
    <row r="365" spans="15:73"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  <c r="BB365" s="118"/>
      <c r="BC365" s="118"/>
      <c r="BD365" s="118"/>
      <c r="BE365" s="118"/>
      <c r="BF365" s="118"/>
      <c r="BG365" s="118"/>
      <c r="BH365" s="118"/>
      <c r="BI365" s="118"/>
      <c r="BJ365" s="118"/>
      <c r="BK365" s="118"/>
      <c r="BL365" s="118"/>
      <c r="BM365" s="118"/>
      <c r="BN365" s="118"/>
      <c r="BO365" s="118"/>
      <c r="BP365" s="118"/>
      <c r="BQ365" s="118"/>
      <c r="BR365" s="118"/>
      <c r="BS365" s="118"/>
      <c r="BT365" s="118"/>
      <c r="BU365" s="118"/>
    </row>
    <row r="366" spans="15:73"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  <c r="BB366" s="118"/>
      <c r="BC366" s="118"/>
      <c r="BD366" s="118"/>
      <c r="BE366" s="118"/>
      <c r="BF366" s="118"/>
      <c r="BG366" s="118"/>
      <c r="BH366" s="118"/>
      <c r="BI366" s="118"/>
      <c r="BJ366" s="118"/>
      <c r="BK366" s="118"/>
      <c r="BL366" s="118"/>
      <c r="BM366" s="118"/>
      <c r="BN366" s="118"/>
      <c r="BO366" s="118"/>
      <c r="BP366" s="118"/>
      <c r="BQ366" s="118"/>
      <c r="BR366" s="118"/>
      <c r="BS366" s="118"/>
      <c r="BT366" s="118"/>
      <c r="BU366" s="118"/>
    </row>
    <row r="367" spans="15:73"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  <c r="BB367" s="118"/>
      <c r="BC367" s="118"/>
      <c r="BD367" s="118"/>
      <c r="BE367" s="118"/>
      <c r="BF367" s="118"/>
      <c r="BG367" s="118"/>
      <c r="BH367" s="118"/>
      <c r="BI367" s="118"/>
      <c r="BJ367" s="118"/>
      <c r="BK367" s="118"/>
      <c r="BL367" s="118"/>
      <c r="BM367" s="118"/>
      <c r="BN367" s="118"/>
      <c r="BO367" s="118"/>
      <c r="BP367" s="118"/>
      <c r="BQ367" s="118"/>
      <c r="BR367" s="118"/>
      <c r="BS367" s="118"/>
      <c r="BT367" s="118"/>
      <c r="BU367" s="118"/>
    </row>
    <row r="368" spans="15:73"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  <c r="BB368" s="118"/>
      <c r="BC368" s="118"/>
      <c r="BD368" s="118"/>
      <c r="BE368" s="118"/>
      <c r="BF368" s="118"/>
      <c r="BG368" s="118"/>
      <c r="BH368" s="118"/>
      <c r="BI368" s="118"/>
      <c r="BJ368" s="118"/>
      <c r="BK368" s="118"/>
      <c r="BL368" s="118"/>
      <c r="BM368" s="118"/>
      <c r="BN368" s="118"/>
      <c r="BO368" s="118"/>
      <c r="BP368" s="118"/>
      <c r="BQ368" s="118"/>
      <c r="BR368" s="118"/>
      <c r="BS368" s="118"/>
      <c r="BT368" s="118"/>
      <c r="BU368" s="118"/>
    </row>
    <row r="369" spans="15:73"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8"/>
      <c r="AW369" s="118"/>
      <c r="AX369" s="118"/>
      <c r="AY369" s="118"/>
      <c r="AZ369" s="118"/>
      <c r="BA369" s="118"/>
      <c r="BB369" s="118"/>
      <c r="BC369" s="118"/>
      <c r="BD369" s="118"/>
      <c r="BE369" s="118"/>
      <c r="BF369" s="118"/>
      <c r="BG369" s="118"/>
      <c r="BH369" s="118"/>
      <c r="BI369" s="118"/>
      <c r="BJ369" s="118"/>
      <c r="BK369" s="118"/>
      <c r="BL369" s="118"/>
      <c r="BM369" s="118"/>
      <c r="BN369" s="118"/>
      <c r="BO369" s="118"/>
      <c r="BP369" s="118"/>
      <c r="BQ369" s="118"/>
      <c r="BR369" s="118"/>
      <c r="BS369" s="118"/>
      <c r="BT369" s="118"/>
      <c r="BU369" s="118"/>
    </row>
    <row r="370" spans="15:73"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  <c r="BB370" s="118"/>
      <c r="BC370" s="118"/>
      <c r="BD370" s="118"/>
      <c r="BE370" s="118"/>
      <c r="BF370" s="118"/>
      <c r="BG370" s="118"/>
      <c r="BH370" s="118"/>
      <c r="BI370" s="118"/>
      <c r="BJ370" s="118"/>
      <c r="BK370" s="118"/>
      <c r="BL370" s="118"/>
      <c r="BM370" s="118"/>
      <c r="BN370" s="118"/>
      <c r="BO370" s="118"/>
      <c r="BP370" s="118"/>
      <c r="BQ370" s="118"/>
      <c r="BR370" s="118"/>
      <c r="BS370" s="118"/>
      <c r="BT370" s="118"/>
      <c r="BU370" s="118"/>
    </row>
    <row r="371" spans="15:73"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  <c r="BB371" s="118"/>
      <c r="BC371" s="118"/>
      <c r="BD371" s="118"/>
      <c r="BE371" s="118"/>
      <c r="BF371" s="118"/>
      <c r="BG371" s="118"/>
      <c r="BH371" s="118"/>
      <c r="BI371" s="118"/>
      <c r="BJ371" s="118"/>
      <c r="BK371" s="118"/>
      <c r="BL371" s="118"/>
      <c r="BM371" s="118"/>
      <c r="BN371" s="118"/>
      <c r="BO371" s="118"/>
      <c r="BP371" s="118"/>
      <c r="BQ371" s="118"/>
      <c r="BR371" s="118"/>
      <c r="BS371" s="118"/>
      <c r="BT371" s="118"/>
      <c r="BU371" s="118"/>
    </row>
    <row r="372" spans="15:73"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  <c r="AU372" s="118"/>
      <c r="AV372" s="118"/>
      <c r="AW372" s="118"/>
      <c r="AX372" s="118"/>
      <c r="AY372" s="118"/>
      <c r="AZ372" s="118"/>
      <c r="BA372" s="118"/>
      <c r="BB372" s="118"/>
      <c r="BC372" s="118"/>
      <c r="BD372" s="118"/>
      <c r="BE372" s="118"/>
      <c r="BF372" s="118"/>
      <c r="BG372" s="118"/>
      <c r="BH372" s="118"/>
      <c r="BI372" s="118"/>
      <c r="BJ372" s="118"/>
      <c r="BK372" s="118"/>
      <c r="BL372" s="118"/>
      <c r="BM372" s="118"/>
      <c r="BN372" s="118"/>
      <c r="BO372" s="118"/>
      <c r="BP372" s="118"/>
      <c r="BQ372" s="118"/>
      <c r="BR372" s="118"/>
      <c r="BS372" s="118"/>
      <c r="BT372" s="118"/>
      <c r="BU372" s="118"/>
    </row>
    <row r="373" spans="15:73"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  <c r="BB373" s="118"/>
      <c r="BC373" s="118"/>
      <c r="BD373" s="118"/>
      <c r="BE373" s="118"/>
      <c r="BF373" s="118"/>
      <c r="BG373" s="118"/>
      <c r="BH373" s="118"/>
      <c r="BI373" s="118"/>
      <c r="BJ373" s="118"/>
      <c r="BK373" s="118"/>
      <c r="BL373" s="118"/>
      <c r="BM373" s="118"/>
      <c r="BN373" s="118"/>
      <c r="BO373" s="118"/>
      <c r="BP373" s="118"/>
      <c r="BQ373" s="118"/>
      <c r="BR373" s="118"/>
      <c r="BS373" s="118"/>
      <c r="BT373" s="118"/>
      <c r="BU373" s="118"/>
    </row>
    <row r="374" spans="15:73"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  <c r="BB374" s="118"/>
      <c r="BC374" s="118"/>
      <c r="BD374" s="118"/>
      <c r="BE374" s="118"/>
      <c r="BF374" s="118"/>
      <c r="BG374" s="118"/>
      <c r="BH374" s="118"/>
      <c r="BI374" s="118"/>
      <c r="BJ374" s="118"/>
      <c r="BK374" s="118"/>
      <c r="BL374" s="118"/>
      <c r="BM374" s="118"/>
      <c r="BN374" s="118"/>
      <c r="BO374" s="118"/>
      <c r="BP374" s="118"/>
      <c r="BQ374" s="118"/>
      <c r="BR374" s="118"/>
      <c r="BS374" s="118"/>
      <c r="BT374" s="118"/>
      <c r="BU374" s="118"/>
    </row>
    <row r="375" spans="15:73"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  <c r="BB375" s="118"/>
      <c r="BC375" s="118"/>
      <c r="BD375" s="118"/>
      <c r="BE375" s="118"/>
      <c r="BF375" s="118"/>
      <c r="BG375" s="118"/>
      <c r="BH375" s="118"/>
      <c r="BI375" s="118"/>
      <c r="BJ375" s="118"/>
      <c r="BK375" s="118"/>
      <c r="BL375" s="118"/>
      <c r="BM375" s="118"/>
      <c r="BN375" s="118"/>
      <c r="BO375" s="118"/>
      <c r="BP375" s="118"/>
      <c r="BQ375" s="118"/>
      <c r="BR375" s="118"/>
      <c r="BS375" s="118"/>
      <c r="BT375" s="118"/>
      <c r="BU375" s="118"/>
    </row>
    <row r="376" spans="15:73"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  <c r="AU376" s="118"/>
      <c r="AV376" s="118"/>
      <c r="AW376" s="118"/>
      <c r="AX376" s="118"/>
      <c r="AY376" s="118"/>
      <c r="AZ376" s="118"/>
      <c r="BA376" s="118"/>
      <c r="BB376" s="118"/>
      <c r="BC376" s="118"/>
      <c r="BD376" s="118"/>
      <c r="BE376" s="118"/>
      <c r="BF376" s="118"/>
      <c r="BG376" s="118"/>
      <c r="BH376" s="118"/>
      <c r="BI376" s="118"/>
      <c r="BJ376" s="118"/>
      <c r="BK376" s="118"/>
      <c r="BL376" s="118"/>
      <c r="BM376" s="118"/>
      <c r="BN376" s="118"/>
      <c r="BO376" s="118"/>
      <c r="BP376" s="118"/>
      <c r="BQ376" s="118"/>
      <c r="BR376" s="118"/>
      <c r="BS376" s="118"/>
      <c r="BT376" s="118"/>
      <c r="BU376" s="118"/>
    </row>
    <row r="377" spans="15:73"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  <c r="BB377" s="118"/>
      <c r="BC377" s="118"/>
      <c r="BD377" s="118"/>
      <c r="BE377" s="118"/>
      <c r="BF377" s="118"/>
      <c r="BG377" s="118"/>
      <c r="BH377" s="118"/>
      <c r="BI377" s="118"/>
      <c r="BJ377" s="118"/>
      <c r="BK377" s="118"/>
      <c r="BL377" s="118"/>
      <c r="BM377" s="118"/>
      <c r="BN377" s="118"/>
      <c r="BO377" s="118"/>
      <c r="BP377" s="118"/>
      <c r="BQ377" s="118"/>
      <c r="BR377" s="118"/>
      <c r="BS377" s="118"/>
      <c r="BT377" s="118"/>
      <c r="BU377" s="118"/>
    </row>
    <row r="378" spans="15:73"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  <c r="BB378" s="118"/>
      <c r="BC378" s="118"/>
      <c r="BD378" s="118"/>
      <c r="BE378" s="118"/>
      <c r="BF378" s="118"/>
      <c r="BG378" s="118"/>
      <c r="BH378" s="118"/>
      <c r="BI378" s="118"/>
      <c r="BJ378" s="118"/>
      <c r="BK378" s="118"/>
      <c r="BL378" s="118"/>
      <c r="BM378" s="118"/>
      <c r="BN378" s="118"/>
      <c r="BO378" s="118"/>
      <c r="BP378" s="118"/>
      <c r="BQ378" s="118"/>
      <c r="BR378" s="118"/>
      <c r="BS378" s="118"/>
      <c r="BT378" s="118"/>
      <c r="BU378" s="118"/>
    </row>
    <row r="379" spans="15:73"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  <c r="BB379" s="118"/>
      <c r="BC379" s="118"/>
      <c r="BD379" s="118"/>
      <c r="BE379" s="118"/>
      <c r="BF379" s="118"/>
      <c r="BG379" s="118"/>
      <c r="BH379" s="118"/>
      <c r="BI379" s="118"/>
      <c r="BJ379" s="118"/>
      <c r="BK379" s="118"/>
      <c r="BL379" s="118"/>
      <c r="BM379" s="118"/>
      <c r="BN379" s="118"/>
      <c r="BO379" s="118"/>
      <c r="BP379" s="118"/>
      <c r="BQ379" s="118"/>
      <c r="BR379" s="118"/>
      <c r="BS379" s="118"/>
      <c r="BT379" s="118"/>
      <c r="BU379" s="118"/>
    </row>
    <row r="380" spans="15:73"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  <c r="BB380" s="118"/>
      <c r="BC380" s="118"/>
      <c r="BD380" s="118"/>
      <c r="BE380" s="118"/>
      <c r="BF380" s="118"/>
      <c r="BG380" s="118"/>
      <c r="BH380" s="118"/>
      <c r="BI380" s="118"/>
      <c r="BJ380" s="118"/>
      <c r="BK380" s="118"/>
      <c r="BL380" s="118"/>
      <c r="BM380" s="118"/>
      <c r="BN380" s="118"/>
      <c r="BO380" s="118"/>
      <c r="BP380" s="118"/>
      <c r="BQ380" s="118"/>
      <c r="BR380" s="118"/>
      <c r="BS380" s="118"/>
      <c r="BT380" s="118"/>
      <c r="BU380" s="118"/>
    </row>
    <row r="381" spans="15:73"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  <c r="BB381" s="118"/>
      <c r="BC381" s="118"/>
      <c r="BD381" s="118"/>
      <c r="BE381" s="118"/>
      <c r="BF381" s="118"/>
      <c r="BG381" s="118"/>
      <c r="BH381" s="118"/>
      <c r="BI381" s="118"/>
      <c r="BJ381" s="118"/>
      <c r="BK381" s="118"/>
      <c r="BL381" s="118"/>
      <c r="BM381" s="118"/>
      <c r="BN381" s="118"/>
      <c r="BO381" s="118"/>
      <c r="BP381" s="118"/>
      <c r="BQ381" s="118"/>
      <c r="BR381" s="118"/>
      <c r="BS381" s="118"/>
      <c r="BT381" s="118"/>
      <c r="BU381" s="118"/>
    </row>
    <row r="382" spans="15:73"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  <c r="BB382" s="118"/>
      <c r="BC382" s="118"/>
      <c r="BD382" s="118"/>
      <c r="BE382" s="118"/>
      <c r="BF382" s="118"/>
      <c r="BG382" s="118"/>
      <c r="BH382" s="118"/>
      <c r="BI382" s="118"/>
      <c r="BJ382" s="118"/>
      <c r="BK382" s="118"/>
      <c r="BL382" s="118"/>
      <c r="BM382" s="118"/>
      <c r="BN382" s="118"/>
      <c r="BO382" s="118"/>
      <c r="BP382" s="118"/>
      <c r="BQ382" s="118"/>
      <c r="BR382" s="118"/>
      <c r="BS382" s="118"/>
      <c r="BT382" s="118"/>
      <c r="BU382" s="118"/>
    </row>
    <row r="383" spans="15:73"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  <c r="BB383" s="118"/>
      <c r="BC383" s="118"/>
      <c r="BD383" s="118"/>
      <c r="BE383" s="118"/>
      <c r="BF383" s="118"/>
      <c r="BG383" s="118"/>
      <c r="BH383" s="118"/>
      <c r="BI383" s="118"/>
      <c r="BJ383" s="118"/>
      <c r="BK383" s="118"/>
      <c r="BL383" s="118"/>
      <c r="BM383" s="118"/>
      <c r="BN383" s="118"/>
      <c r="BO383" s="118"/>
      <c r="BP383" s="118"/>
      <c r="BQ383" s="118"/>
      <c r="BR383" s="118"/>
      <c r="BS383" s="118"/>
      <c r="BT383" s="118"/>
      <c r="BU383" s="118"/>
    </row>
    <row r="384" spans="15:73"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  <c r="BB384" s="118"/>
      <c r="BC384" s="118"/>
      <c r="BD384" s="118"/>
      <c r="BE384" s="118"/>
      <c r="BF384" s="118"/>
      <c r="BG384" s="118"/>
      <c r="BH384" s="118"/>
      <c r="BI384" s="118"/>
      <c r="BJ384" s="118"/>
      <c r="BK384" s="118"/>
      <c r="BL384" s="118"/>
      <c r="BM384" s="118"/>
      <c r="BN384" s="118"/>
      <c r="BO384" s="118"/>
      <c r="BP384" s="118"/>
      <c r="BQ384" s="118"/>
      <c r="BR384" s="118"/>
      <c r="BS384" s="118"/>
      <c r="BT384" s="118"/>
      <c r="BU384" s="118"/>
    </row>
    <row r="385" spans="15:73"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  <c r="BB385" s="118"/>
      <c r="BC385" s="118"/>
      <c r="BD385" s="118"/>
      <c r="BE385" s="118"/>
      <c r="BF385" s="118"/>
      <c r="BG385" s="118"/>
      <c r="BH385" s="118"/>
      <c r="BI385" s="118"/>
      <c r="BJ385" s="118"/>
      <c r="BK385" s="118"/>
      <c r="BL385" s="118"/>
      <c r="BM385" s="118"/>
      <c r="BN385" s="118"/>
      <c r="BO385" s="118"/>
      <c r="BP385" s="118"/>
      <c r="BQ385" s="118"/>
      <c r="BR385" s="118"/>
      <c r="BS385" s="118"/>
      <c r="BT385" s="118"/>
      <c r="BU385" s="118"/>
    </row>
    <row r="386" spans="15:73"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  <c r="BB386" s="118"/>
      <c r="BC386" s="118"/>
      <c r="BD386" s="118"/>
      <c r="BE386" s="118"/>
      <c r="BF386" s="118"/>
      <c r="BG386" s="118"/>
      <c r="BH386" s="118"/>
      <c r="BI386" s="118"/>
      <c r="BJ386" s="118"/>
      <c r="BK386" s="118"/>
      <c r="BL386" s="118"/>
      <c r="BM386" s="118"/>
      <c r="BN386" s="118"/>
      <c r="BO386" s="118"/>
      <c r="BP386" s="118"/>
      <c r="BQ386" s="118"/>
      <c r="BR386" s="118"/>
      <c r="BS386" s="118"/>
      <c r="BT386" s="118"/>
      <c r="BU386" s="118"/>
    </row>
    <row r="387" spans="15:73"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  <c r="BB387" s="118"/>
      <c r="BC387" s="118"/>
      <c r="BD387" s="118"/>
      <c r="BE387" s="118"/>
      <c r="BF387" s="118"/>
      <c r="BG387" s="118"/>
      <c r="BH387" s="118"/>
      <c r="BI387" s="118"/>
      <c r="BJ387" s="118"/>
      <c r="BK387" s="118"/>
      <c r="BL387" s="118"/>
      <c r="BM387" s="118"/>
      <c r="BN387" s="118"/>
      <c r="BO387" s="118"/>
      <c r="BP387" s="118"/>
      <c r="BQ387" s="118"/>
      <c r="BR387" s="118"/>
      <c r="BS387" s="118"/>
      <c r="BT387" s="118"/>
      <c r="BU387" s="118"/>
    </row>
    <row r="388" spans="15:73"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  <c r="AZ388" s="118"/>
      <c r="BA388" s="118"/>
      <c r="BB388" s="118"/>
      <c r="BC388" s="118"/>
      <c r="BD388" s="118"/>
      <c r="BE388" s="118"/>
      <c r="BF388" s="118"/>
      <c r="BG388" s="118"/>
      <c r="BH388" s="118"/>
      <c r="BI388" s="118"/>
      <c r="BJ388" s="118"/>
      <c r="BK388" s="118"/>
      <c r="BL388" s="118"/>
      <c r="BM388" s="118"/>
      <c r="BN388" s="118"/>
      <c r="BO388" s="118"/>
      <c r="BP388" s="118"/>
      <c r="BQ388" s="118"/>
      <c r="BR388" s="118"/>
      <c r="BS388" s="118"/>
      <c r="BT388" s="118"/>
      <c r="BU388" s="118"/>
    </row>
    <row r="389" spans="15:73"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  <c r="BB389" s="118"/>
      <c r="BC389" s="118"/>
      <c r="BD389" s="118"/>
      <c r="BE389" s="118"/>
      <c r="BF389" s="118"/>
      <c r="BG389" s="118"/>
      <c r="BH389" s="118"/>
      <c r="BI389" s="118"/>
      <c r="BJ389" s="118"/>
      <c r="BK389" s="118"/>
      <c r="BL389" s="118"/>
      <c r="BM389" s="118"/>
      <c r="BN389" s="118"/>
      <c r="BO389" s="118"/>
      <c r="BP389" s="118"/>
      <c r="BQ389" s="118"/>
      <c r="BR389" s="118"/>
      <c r="BS389" s="118"/>
      <c r="BT389" s="118"/>
      <c r="BU389" s="118"/>
    </row>
    <row r="390" spans="15:73"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  <c r="AU390" s="118"/>
      <c r="AV390" s="118"/>
      <c r="AW390" s="118"/>
      <c r="AX390" s="118"/>
      <c r="AY390" s="118"/>
      <c r="AZ390" s="118"/>
      <c r="BA390" s="118"/>
      <c r="BB390" s="118"/>
      <c r="BC390" s="118"/>
      <c r="BD390" s="118"/>
      <c r="BE390" s="118"/>
      <c r="BF390" s="118"/>
      <c r="BG390" s="118"/>
      <c r="BH390" s="118"/>
      <c r="BI390" s="118"/>
      <c r="BJ390" s="118"/>
      <c r="BK390" s="118"/>
      <c r="BL390" s="118"/>
      <c r="BM390" s="118"/>
      <c r="BN390" s="118"/>
      <c r="BO390" s="118"/>
      <c r="BP390" s="118"/>
      <c r="BQ390" s="118"/>
      <c r="BR390" s="118"/>
      <c r="BS390" s="118"/>
      <c r="BT390" s="118"/>
      <c r="BU390" s="118"/>
    </row>
    <row r="391" spans="15:73"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  <c r="BB391" s="118"/>
      <c r="BC391" s="118"/>
      <c r="BD391" s="118"/>
      <c r="BE391" s="118"/>
      <c r="BF391" s="118"/>
      <c r="BG391" s="118"/>
      <c r="BH391" s="118"/>
      <c r="BI391" s="118"/>
      <c r="BJ391" s="118"/>
      <c r="BK391" s="118"/>
      <c r="BL391" s="118"/>
      <c r="BM391" s="118"/>
      <c r="BN391" s="118"/>
      <c r="BO391" s="118"/>
      <c r="BP391" s="118"/>
      <c r="BQ391" s="118"/>
      <c r="BR391" s="118"/>
      <c r="BS391" s="118"/>
      <c r="BT391" s="118"/>
      <c r="BU391" s="118"/>
    </row>
    <row r="392" spans="15:73"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  <c r="BB392" s="118"/>
      <c r="BC392" s="118"/>
      <c r="BD392" s="118"/>
      <c r="BE392" s="118"/>
      <c r="BF392" s="118"/>
      <c r="BG392" s="118"/>
      <c r="BH392" s="118"/>
      <c r="BI392" s="118"/>
      <c r="BJ392" s="118"/>
      <c r="BK392" s="118"/>
      <c r="BL392" s="118"/>
      <c r="BM392" s="118"/>
      <c r="BN392" s="118"/>
      <c r="BO392" s="118"/>
      <c r="BP392" s="118"/>
      <c r="BQ392" s="118"/>
      <c r="BR392" s="118"/>
      <c r="BS392" s="118"/>
      <c r="BT392" s="118"/>
      <c r="BU392" s="118"/>
    </row>
    <row r="393" spans="15:73"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  <c r="BB393" s="118"/>
      <c r="BC393" s="118"/>
      <c r="BD393" s="118"/>
      <c r="BE393" s="118"/>
      <c r="BF393" s="118"/>
      <c r="BG393" s="118"/>
      <c r="BH393" s="118"/>
      <c r="BI393" s="118"/>
      <c r="BJ393" s="118"/>
      <c r="BK393" s="118"/>
      <c r="BL393" s="118"/>
      <c r="BM393" s="118"/>
      <c r="BN393" s="118"/>
      <c r="BO393" s="118"/>
      <c r="BP393" s="118"/>
      <c r="BQ393" s="118"/>
      <c r="BR393" s="118"/>
      <c r="BS393" s="118"/>
      <c r="BT393" s="118"/>
      <c r="BU393" s="118"/>
    </row>
    <row r="394" spans="15:73"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  <c r="BB394" s="118"/>
      <c r="BC394" s="118"/>
      <c r="BD394" s="118"/>
      <c r="BE394" s="118"/>
      <c r="BF394" s="118"/>
      <c r="BG394" s="118"/>
      <c r="BH394" s="118"/>
      <c r="BI394" s="118"/>
      <c r="BJ394" s="118"/>
      <c r="BK394" s="118"/>
      <c r="BL394" s="118"/>
      <c r="BM394" s="118"/>
      <c r="BN394" s="118"/>
      <c r="BO394" s="118"/>
      <c r="BP394" s="118"/>
      <c r="BQ394" s="118"/>
      <c r="BR394" s="118"/>
      <c r="BS394" s="118"/>
      <c r="BT394" s="118"/>
      <c r="BU394" s="118"/>
    </row>
    <row r="395" spans="15:73"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  <c r="BB395" s="118"/>
      <c r="BC395" s="118"/>
      <c r="BD395" s="118"/>
      <c r="BE395" s="118"/>
      <c r="BF395" s="118"/>
      <c r="BG395" s="118"/>
      <c r="BH395" s="118"/>
      <c r="BI395" s="118"/>
      <c r="BJ395" s="118"/>
      <c r="BK395" s="118"/>
      <c r="BL395" s="118"/>
      <c r="BM395" s="118"/>
      <c r="BN395" s="118"/>
      <c r="BO395" s="118"/>
      <c r="BP395" s="118"/>
      <c r="BQ395" s="118"/>
      <c r="BR395" s="118"/>
      <c r="BS395" s="118"/>
      <c r="BT395" s="118"/>
      <c r="BU395" s="118"/>
    </row>
    <row r="396" spans="15:73"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/>
      <c r="BB396" s="118"/>
      <c r="BC396" s="118"/>
      <c r="BD396" s="118"/>
      <c r="BE396" s="118"/>
      <c r="BF396" s="118"/>
      <c r="BG396" s="118"/>
      <c r="BH396" s="118"/>
      <c r="BI396" s="118"/>
      <c r="BJ396" s="118"/>
      <c r="BK396" s="118"/>
      <c r="BL396" s="118"/>
      <c r="BM396" s="118"/>
      <c r="BN396" s="118"/>
      <c r="BO396" s="118"/>
      <c r="BP396" s="118"/>
      <c r="BQ396" s="118"/>
      <c r="BR396" s="118"/>
      <c r="BS396" s="118"/>
      <c r="BT396" s="118"/>
      <c r="BU396" s="118"/>
    </row>
    <row r="397" spans="15:73"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  <c r="BB397" s="118"/>
      <c r="BC397" s="118"/>
      <c r="BD397" s="118"/>
      <c r="BE397" s="118"/>
      <c r="BF397" s="118"/>
      <c r="BG397" s="118"/>
      <c r="BH397" s="118"/>
      <c r="BI397" s="118"/>
      <c r="BJ397" s="118"/>
      <c r="BK397" s="118"/>
      <c r="BL397" s="118"/>
      <c r="BM397" s="118"/>
      <c r="BN397" s="118"/>
      <c r="BO397" s="118"/>
      <c r="BP397" s="118"/>
      <c r="BQ397" s="118"/>
      <c r="BR397" s="118"/>
      <c r="BS397" s="118"/>
      <c r="BT397" s="118"/>
      <c r="BU397" s="118"/>
    </row>
    <row r="398" spans="15:73"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118"/>
      <c r="AZ398" s="118"/>
      <c r="BA398" s="118"/>
      <c r="BB398" s="118"/>
      <c r="BC398" s="118"/>
      <c r="BD398" s="118"/>
      <c r="BE398" s="118"/>
      <c r="BF398" s="118"/>
      <c r="BG398" s="118"/>
      <c r="BH398" s="118"/>
      <c r="BI398" s="118"/>
      <c r="BJ398" s="118"/>
      <c r="BK398" s="118"/>
      <c r="BL398" s="118"/>
      <c r="BM398" s="118"/>
      <c r="BN398" s="118"/>
      <c r="BO398" s="118"/>
      <c r="BP398" s="118"/>
      <c r="BQ398" s="118"/>
      <c r="BR398" s="118"/>
      <c r="BS398" s="118"/>
      <c r="BT398" s="118"/>
      <c r="BU398" s="118"/>
    </row>
    <row r="399" spans="15:73"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  <c r="AU399" s="118"/>
      <c r="AV399" s="118"/>
      <c r="AW399" s="118"/>
      <c r="AX399" s="118"/>
      <c r="AY399" s="118"/>
      <c r="AZ399" s="118"/>
      <c r="BA399" s="118"/>
      <c r="BB399" s="118"/>
      <c r="BC399" s="118"/>
      <c r="BD399" s="118"/>
      <c r="BE399" s="118"/>
      <c r="BF399" s="118"/>
      <c r="BG399" s="118"/>
      <c r="BH399" s="118"/>
      <c r="BI399" s="118"/>
      <c r="BJ399" s="118"/>
      <c r="BK399" s="118"/>
      <c r="BL399" s="118"/>
      <c r="BM399" s="118"/>
      <c r="BN399" s="118"/>
      <c r="BO399" s="118"/>
      <c r="BP399" s="118"/>
      <c r="BQ399" s="118"/>
      <c r="BR399" s="118"/>
      <c r="BS399" s="118"/>
      <c r="BT399" s="118"/>
      <c r="BU399" s="118"/>
    </row>
    <row r="400" spans="15:73"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  <c r="AU400" s="118"/>
      <c r="AV400" s="118"/>
      <c r="AW400" s="118"/>
      <c r="AX400" s="118"/>
      <c r="AY400" s="118"/>
      <c r="AZ400" s="118"/>
      <c r="BA400" s="118"/>
      <c r="BB400" s="118"/>
      <c r="BC400" s="118"/>
      <c r="BD400" s="118"/>
      <c r="BE400" s="118"/>
      <c r="BF400" s="118"/>
      <c r="BG400" s="118"/>
      <c r="BH400" s="118"/>
      <c r="BI400" s="118"/>
      <c r="BJ400" s="118"/>
      <c r="BK400" s="118"/>
      <c r="BL400" s="118"/>
      <c r="BM400" s="118"/>
      <c r="BN400" s="118"/>
      <c r="BO400" s="118"/>
      <c r="BP400" s="118"/>
      <c r="BQ400" s="118"/>
      <c r="BR400" s="118"/>
      <c r="BS400" s="118"/>
      <c r="BT400" s="118"/>
      <c r="BU400" s="118"/>
    </row>
    <row r="401" spans="15:73"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  <c r="BB401" s="118"/>
      <c r="BC401" s="118"/>
      <c r="BD401" s="118"/>
      <c r="BE401" s="118"/>
      <c r="BF401" s="118"/>
      <c r="BG401" s="118"/>
      <c r="BH401" s="118"/>
      <c r="BI401" s="118"/>
      <c r="BJ401" s="118"/>
      <c r="BK401" s="118"/>
      <c r="BL401" s="118"/>
      <c r="BM401" s="118"/>
      <c r="BN401" s="118"/>
      <c r="BO401" s="118"/>
      <c r="BP401" s="118"/>
      <c r="BQ401" s="118"/>
      <c r="BR401" s="118"/>
      <c r="BS401" s="118"/>
      <c r="BT401" s="118"/>
      <c r="BU401" s="118"/>
    </row>
    <row r="402" spans="15:73"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  <c r="AU402" s="118"/>
      <c r="AV402" s="118"/>
      <c r="AW402" s="118"/>
      <c r="AX402" s="118"/>
      <c r="AY402" s="118"/>
      <c r="AZ402" s="118"/>
      <c r="BA402" s="118"/>
      <c r="BB402" s="118"/>
      <c r="BC402" s="118"/>
      <c r="BD402" s="118"/>
      <c r="BE402" s="118"/>
      <c r="BF402" s="118"/>
      <c r="BG402" s="118"/>
      <c r="BH402" s="118"/>
      <c r="BI402" s="118"/>
      <c r="BJ402" s="118"/>
      <c r="BK402" s="118"/>
      <c r="BL402" s="118"/>
      <c r="BM402" s="118"/>
      <c r="BN402" s="118"/>
      <c r="BO402" s="118"/>
      <c r="BP402" s="118"/>
      <c r="BQ402" s="118"/>
      <c r="BR402" s="118"/>
      <c r="BS402" s="118"/>
      <c r="BT402" s="118"/>
      <c r="BU402" s="118"/>
    </row>
    <row r="403" spans="15:73"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  <c r="AU403" s="118"/>
      <c r="AV403" s="118"/>
      <c r="AW403" s="118"/>
      <c r="AX403" s="118"/>
      <c r="AY403" s="118"/>
      <c r="AZ403" s="118"/>
      <c r="BA403" s="118"/>
      <c r="BB403" s="118"/>
      <c r="BC403" s="118"/>
      <c r="BD403" s="118"/>
      <c r="BE403" s="118"/>
      <c r="BF403" s="118"/>
      <c r="BG403" s="118"/>
      <c r="BH403" s="118"/>
      <c r="BI403" s="118"/>
      <c r="BJ403" s="118"/>
      <c r="BK403" s="118"/>
      <c r="BL403" s="118"/>
      <c r="BM403" s="118"/>
      <c r="BN403" s="118"/>
      <c r="BO403" s="118"/>
      <c r="BP403" s="118"/>
      <c r="BQ403" s="118"/>
      <c r="BR403" s="118"/>
      <c r="BS403" s="118"/>
      <c r="BT403" s="118"/>
      <c r="BU403" s="118"/>
    </row>
    <row r="404" spans="15:73"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  <c r="BB404" s="118"/>
      <c r="BC404" s="118"/>
      <c r="BD404" s="118"/>
      <c r="BE404" s="118"/>
      <c r="BF404" s="118"/>
      <c r="BG404" s="118"/>
      <c r="BH404" s="118"/>
      <c r="BI404" s="118"/>
      <c r="BJ404" s="118"/>
      <c r="BK404" s="118"/>
      <c r="BL404" s="118"/>
      <c r="BM404" s="118"/>
      <c r="BN404" s="118"/>
      <c r="BO404" s="118"/>
      <c r="BP404" s="118"/>
      <c r="BQ404" s="118"/>
      <c r="BR404" s="118"/>
      <c r="BS404" s="118"/>
      <c r="BT404" s="118"/>
      <c r="BU404" s="118"/>
    </row>
    <row r="405" spans="15:73"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  <c r="BB405" s="118"/>
      <c r="BC405" s="118"/>
      <c r="BD405" s="118"/>
      <c r="BE405" s="118"/>
      <c r="BF405" s="118"/>
      <c r="BG405" s="118"/>
      <c r="BH405" s="118"/>
      <c r="BI405" s="118"/>
      <c r="BJ405" s="118"/>
      <c r="BK405" s="118"/>
      <c r="BL405" s="118"/>
      <c r="BM405" s="118"/>
      <c r="BN405" s="118"/>
      <c r="BO405" s="118"/>
      <c r="BP405" s="118"/>
      <c r="BQ405" s="118"/>
      <c r="BR405" s="118"/>
      <c r="BS405" s="118"/>
      <c r="BT405" s="118"/>
      <c r="BU405" s="118"/>
    </row>
    <row r="406" spans="15:73"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  <c r="AU406" s="118"/>
      <c r="AV406" s="118"/>
      <c r="AW406" s="118"/>
      <c r="AX406" s="118"/>
      <c r="AY406" s="118"/>
      <c r="AZ406" s="118"/>
      <c r="BA406" s="118"/>
      <c r="BB406" s="118"/>
      <c r="BC406" s="118"/>
      <c r="BD406" s="118"/>
      <c r="BE406" s="118"/>
      <c r="BF406" s="118"/>
      <c r="BG406" s="118"/>
      <c r="BH406" s="118"/>
      <c r="BI406" s="118"/>
      <c r="BJ406" s="118"/>
      <c r="BK406" s="118"/>
      <c r="BL406" s="118"/>
      <c r="BM406" s="118"/>
      <c r="BN406" s="118"/>
      <c r="BO406" s="118"/>
      <c r="BP406" s="118"/>
      <c r="BQ406" s="118"/>
      <c r="BR406" s="118"/>
      <c r="BS406" s="118"/>
      <c r="BT406" s="118"/>
      <c r="BU406" s="118"/>
    </row>
    <row r="407" spans="15:73"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  <c r="BB407" s="118"/>
      <c r="BC407" s="118"/>
      <c r="BD407" s="118"/>
      <c r="BE407" s="118"/>
      <c r="BF407" s="118"/>
      <c r="BG407" s="118"/>
      <c r="BH407" s="118"/>
      <c r="BI407" s="118"/>
      <c r="BJ407" s="118"/>
      <c r="BK407" s="118"/>
      <c r="BL407" s="118"/>
      <c r="BM407" s="118"/>
      <c r="BN407" s="118"/>
      <c r="BO407" s="118"/>
      <c r="BP407" s="118"/>
      <c r="BQ407" s="118"/>
      <c r="BR407" s="118"/>
      <c r="BS407" s="118"/>
      <c r="BT407" s="118"/>
      <c r="BU407" s="118"/>
    </row>
    <row r="408" spans="15:73"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  <c r="BB408" s="118"/>
      <c r="BC408" s="118"/>
      <c r="BD408" s="118"/>
      <c r="BE408" s="118"/>
      <c r="BF408" s="118"/>
      <c r="BG408" s="118"/>
      <c r="BH408" s="118"/>
      <c r="BI408" s="118"/>
      <c r="BJ408" s="118"/>
      <c r="BK408" s="118"/>
      <c r="BL408" s="118"/>
      <c r="BM408" s="118"/>
      <c r="BN408" s="118"/>
      <c r="BO408" s="118"/>
      <c r="BP408" s="118"/>
      <c r="BQ408" s="118"/>
      <c r="BR408" s="118"/>
      <c r="BS408" s="118"/>
      <c r="BT408" s="118"/>
      <c r="BU408" s="118"/>
    </row>
    <row r="409" spans="15:73"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  <c r="AU409" s="118"/>
      <c r="AV409" s="118"/>
      <c r="AW409" s="118"/>
      <c r="AX409" s="118"/>
      <c r="AY409" s="118"/>
      <c r="AZ409" s="118"/>
      <c r="BA409" s="118"/>
      <c r="BB409" s="118"/>
      <c r="BC409" s="118"/>
      <c r="BD409" s="118"/>
      <c r="BE409" s="118"/>
      <c r="BF409" s="118"/>
      <c r="BG409" s="118"/>
      <c r="BH409" s="118"/>
      <c r="BI409" s="118"/>
      <c r="BJ409" s="118"/>
      <c r="BK409" s="118"/>
      <c r="BL409" s="118"/>
      <c r="BM409" s="118"/>
      <c r="BN409" s="118"/>
      <c r="BO409" s="118"/>
      <c r="BP409" s="118"/>
      <c r="BQ409" s="118"/>
      <c r="BR409" s="118"/>
      <c r="BS409" s="118"/>
      <c r="BT409" s="118"/>
      <c r="BU409" s="118"/>
    </row>
    <row r="410" spans="15:73"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  <c r="AU410" s="118"/>
      <c r="AV410" s="118"/>
      <c r="AW410" s="118"/>
      <c r="AX410" s="118"/>
      <c r="AY410" s="118"/>
      <c r="AZ410" s="118"/>
      <c r="BA410" s="118"/>
      <c r="BB410" s="118"/>
      <c r="BC410" s="118"/>
      <c r="BD410" s="118"/>
      <c r="BE410" s="118"/>
      <c r="BF410" s="118"/>
      <c r="BG410" s="118"/>
      <c r="BH410" s="118"/>
      <c r="BI410" s="118"/>
      <c r="BJ410" s="118"/>
      <c r="BK410" s="118"/>
      <c r="BL410" s="118"/>
      <c r="BM410" s="118"/>
      <c r="BN410" s="118"/>
      <c r="BO410" s="118"/>
      <c r="BP410" s="118"/>
      <c r="BQ410" s="118"/>
      <c r="BR410" s="118"/>
      <c r="BS410" s="118"/>
      <c r="BT410" s="118"/>
      <c r="BU410" s="118"/>
    </row>
    <row r="411" spans="15:73"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  <c r="AU411" s="118"/>
      <c r="AV411" s="118"/>
      <c r="AW411" s="118"/>
      <c r="AX411" s="118"/>
      <c r="AY411" s="118"/>
      <c r="AZ411" s="118"/>
      <c r="BA411" s="118"/>
      <c r="BB411" s="118"/>
      <c r="BC411" s="118"/>
      <c r="BD411" s="118"/>
      <c r="BE411" s="118"/>
      <c r="BF411" s="118"/>
      <c r="BG411" s="118"/>
      <c r="BH411" s="118"/>
      <c r="BI411" s="118"/>
      <c r="BJ411" s="118"/>
      <c r="BK411" s="118"/>
      <c r="BL411" s="118"/>
      <c r="BM411" s="118"/>
      <c r="BN411" s="118"/>
      <c r="BO411" s="118"/>
      <c r="BP411" s="118"/>
      <c r="BQ411" s="118"/>
      <c r="BR411" s="118"/>
      <c r="BS411" s="118"/>
      <c r="BT411" s="118"/>
      <c r="BU411" s="118"/>
    </row>
    <row r="412" spans="15:73"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118"/>
      <c r="AZ412" s="118"/>
      <c r="BA412" s="118"/>
      <c r="BB412" s="118"/>
      <c r="BC412" s="118"/>
      <c r="BD412" s="118"/>
      <c r="BE412" s="118"/>
      <c r="BF412" s="118"/>
      <c r="BG412" s="118"/>
      <c r="BH412" s="118"/>
      <c r="BI412" s="118"/>
      <c r="BJ412" s="118"/>
      <c r="BK412" s="118"/>
      <c r="BL412" s="118"/>
      <c r="BM412" s="118"/>
      <c r="BN412" s="118"/>
      <c r="BO412" s="118"/>
      <c r="BP412" s="118"/>
      <c r="BQ412" s="118"/>
      <c r="BR412" s="118"/>
      <c r="BS412" s="118"/>
      <c r="BT412" s="118"/>
      <c r="BU412" s="118"/>
    </row>
    <row r="413" spans="15:73"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  <c r="AU413" s="118"/>
      <c r="AV413" s="118"/>
      <c r="AW413" s="118"/>
      <c r="AX413" s="118"/>
      <c r="AY413" s="118"/>
      <c r="AZ413" s="118"/>
      <c r="BA413" s="118"/>
      <c r="BB413" s="118"/>
      <c r="BC413" s="118"/>
      <c r="BD413" s="118"/>
      <c r="BE413" s="118"/>
      <c r="BF413" s="118"/>
      <c r="BG413" s="118"/>
      <c r="BH413" s="118"/>
      <c r="BI413" s="118"/>
      <c r="BJ413" s="118"/>
      <c r="BK413" s="118"/>
      <c r="BL413" s="118"/>
      <c r="BM413" s="118"/>
      <c r="BN413" s="118"/>
      <c r="BO413" s="118"/>
      <c r="BP413" s="118"/>
      <c r="BQ413" s="118"/>
      <c r="BR413" s="118"/>
      <c r="BS413" s="118"/>
      <c r="BT413" s="118"/>
      <c r="BU413" s="118"/>
    </row>
    <row r="414" spans="15:73"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  <c r="AU414" s="118"/>
      <c r="AV414" s="118"/>
      <c r="AW414" s="118"/>
      <c r="AX414" s="118"/>
      <c r="AY414" s="118"/>
      <c r="AZ414" s="118"/>
      <c r="BA414" s="118"/>
      <c r="BB414" s="118"/>
      <c r="BC414" s="118"/>
      <c r="BD414" s="118"/>
      <c r="BE414" s="118"/>
      <c r="BF414" s="118"/>
      <c r="BG414" s="118"/>
      <c r="BH414" s="118"/>
      <c r="BI414" s="118"/>
      <c r="BJ414" s="118"/>
      <c r="BK414" s="118"/>
      <c r="BL414" s="118"/>
      <c r="BM414" s="118"/>
      <c r="BN414" s="118"/>
      <c r="BO414" s="118"/>
      <c r="BP414" s="118"/>
      <c r="BQ414" s="118"/>
      <c r="BR414" s="118"/>
      <c r="BS414" s="118"/>
      <c r="BT414" s="118"/>
      <c r="BU414" s="118"/>
    </row>
    <row r="415" spans="15:73"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  <c r="BB415" s="118"/>
      <c r="BC415" s="118"/>
      <c r="BD415" s="118"/>
      <c r="BE415" s="118"/>
      <c r="BF415" s="118"/>
      <c r="BG415" s="118"/>
      <c r="BH415" s="118"/>
      <c r="BI415" s="118"/>
      <c r="BJ415" s="118"/>
      <c r="BK415" s="118"/>
      <c r="BL415" s="118"/>
      <c r="BM415" s="118"/>
      <c r="BN415" s="118"/>
      <c r="BO415" s="118"/>
      <c r="BP415" s="118"/>
      <c r="BQ415" s="118"/>
      <c r="BR415" s="118"/>
      <c r="BS415" s="118"/>
      <c r="BT415" s="118"/>
      <c r="BU415" s="118"/>
    </row>
    <row r="416" spans="15:73"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  <c r="AU416" s="118"/>
      <c r="AV416" s="118"/>
      <c r="AW416" s="118"/>
      <c r="AX416" s="118"/>
      <c r="AY416" s="118"/>
      <c r="AZ416" s="118"/>
      <c r="BA416" s="118"/>
      <c r="BB416" s="118"/>
      <c r="BC416" s="118"/>
      <c r="BD416" s="118"/>
      <c r="BE416" s="118"/>
      <c r="BF416" s="118"/>
      <c r="BG416" s="118"/>
      <c r="BH416" s="118"/>
      <c r="BI416" s="118"/>
      <c r="BJ416" s="118"/>
      <c r="BK416" s="118"/>
      <c r="BL416" s="118"/>
      <c r="BM416" s="118"/>
      <c r="BN416" s="118"/>
      <c r="BO416" s="118"/>
      <c r="BP416" s="118"/>
      <c r="BQ416" s="118"/>
      <c r="BR416" s="118"/>
      <c r="BS416" s="118"/>
      <c r="BT416" s="118"/>
      <c r="BU416" s="118"/>
    </row>
    <row r="417" spans="15:73"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  <c r="BB417" s="118"/>
      <c r="BC417" s="118"/>
      <c r="BD417" s="118"/>
      <c r="BE417" s="118"/>
      <c r="BF417" s="118"/>
      <c r="BG417" s="118"/>
      <c r="BH417" s="118"/>
      <c r="BI417" s="118"/>
      <c r="BJ417" s="118"/>
      <c r="BK417" s="118"/>
      <c r="BL417" s="118"/>
      <c r="BM417" s="118"/>
      <c r="BN417" s="118"/>
      <c r="BO417" s="118"/>
      <c r="BP417" s="118"/>
      <c r="BQ417" s="118"/>
      <c r="BR417" s="118"/>
      <c r="BS417" s="118"/>
      <c r="BT417" s="118"/>
      <c r="BU417" s="118"/>
    </row>
    <row r="418" spans="15:73"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  <c r="AU418" s="118"/>
      <c r="AV418" s="118"/>
      <c r="AW418" s="118"/>
      <c r="AX418" s="118"/>
      <c r="AY418" s="118"/>
      <c r="AZ418" s="118"/>
      <c r="BA418" s="118"/>
      <c r="BB418" s="118"/>
      <c r="BC418" s="118"/>
      <c r="BD418" s="118"/>
      <c r="BE418" s="118"/>
      <c r="BF418" s="118"/>
      <c r="BG418" s="118"/>
      <c r="BH418" s="118"/>
      <c r="BI418" s="118"/>
      <c r="BJ418" s="118"/>
      <c r="BK418" s="118"/>
      <c r="BL418" s="118"/>
      <c r="BM418" s="118"/>
      <c r="BN418" s="118"/>
      <c r="BO418" s="118"/>
      <c r="BP418" s="118"/>
      <c r="BQ418" s="118"/>
      <c r="BR418" s="118"/>
      <c r="BS418" s="118"/>
      <c r="BT418" s="118"/>
      <c r="BU418" s="118"/>
    </row>
    <row r="419" spans="15:73"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118"/>
      <c r="AZ419" s="118"/>
      <c r="BA419" s="118"/>
      <c r="BB419" s="118"/>
      <c r="BC419" s="118"/>
      <c r="BD419" s="118"/>
      <c r="BE419" s="118"/>
      <c r="BF419" s="118"/>
      <c r="BG419" s="118"/>
      <c r="BH419" s="118"/>
      <c r="BI419" s="118"/>
      <c r="BJ419" s="118"/>
      <c r="BK419" s="118"/>
      <c r="BL419" s="118"/>
      <c r="BM419" s="118"/>
      <c r="BN419" s="118"/>
      <c r="BO419" s="118"/>
      <c r="BP419" s="118"/>
      <c r="BQ419" s="118"/>
      <c r="BR419" s="118"/>
      <c r="BS419" s="118"/>
      <c r="BT419" s="118"/>
      <c r="BU419" s="118"/>
    </row>
    <row r="420" spans="15:73"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  <c r="BB420" s="118"/>
      <c r="BC420" s="118"/>
      <c r="BD420" s="118"/>
      <c r="BE420" s="118"/>
      <c r="BF420" s="118"/>
      <c r="BG420" s="118"/>
      <c r="BH420" s="118"/>
      <c r="BI420" s="118"/>
      <c r="BJ420" s="118"/>
      <c r="BK420" s="118"/>
      <c r="BL420" s="118"/>
      <c r="BM420" s="118"/>
      <c r="BN420" s="118"/>
      <c r="BO420" s="118"/>
      <c r="BP420" s="118"/>
      <c r="BQ420" s="118"/>
      <c r="BR420" s="118"/>
      <c r="BS420" s="118"/>
      <c r="BT420" s="118"/>
      <c r="BU420" s="118"/>
    </row>
    <row r="421" spans="15:73"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  <c r="AU421" s="118"/>
      <c r="AV421" s="118"/>
      <c r="AW421" s="118"/>
      <c r="AX421" s="118"/>
      <c r="AY421" s="118"/>
      <c r="AZ421" s="118"/>
      <c r="BA421" s="118"/>
      <c r="BB421" s="118"/>
      <c r="BC421" s="118"/>
      <c r="BD421" s="118"/>
      <c r="BE421" s="118"/>
      <c r="BF421" s="118"/>
      <c r="BG421" s="118"/>
      <c r="BH421" s="118"/>
      <c r="BI421" s="118"/>
      <c r="BJ421" s="118"/>
      <c r="BK421" s="118"/>
      <c r="BL421" s="118"/>
      <c r="BM421" s="118"/>
      <c r="BN421" s="118"/>
      <c r="BO421" s="118"/>
      <c r="BP421" s="118"/>
      <c r="BQ421" s="118"/>
      <c r="BR421" s="118"/>
      <c r="BS421" s="118"/>
      <c r="BT421" s="118"/>
      <c r="BU421" s="118"/>
    </row>
    <row r="422" spans="15:73"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  <c r="AU422" s="118"/>
      <c r="AV422" s="118"/>
      <c r="AW422" s="118"/>
      <c r="AX422" s="118"/>
      <c r="AY422" s="118"/>
      <c r="AZ422" s="118"/>
      <c r="BA422" s="118"/>
      <c r="BB422" s="118"/>
      <c r="BC422" s="118"/>
      <c r="BD422" s="118"/>
      <c r="BE422" s="118"/>
      <c r="BF422" s="118"/>
      <c r="BG422" s="118"/>
      <c r="BH422" s="118"/>
      <c r="BI422" s="118"/>
      <c r="BJ422" s="118"/>
      <c r="BK422" s="118"/>
      <c r="BL422" s="118"/>
      <c r="BM422" s="118"/>
      <c r="BN422" s="118"/>
      <c r="BO422" s="118"/>
      <c r="BP422" s="118"/>
      <c r="BQ422" s="118"/>
      <c r="BR422" s="118"/>
      <c r="BS422" s="118"/>
      <c r="BT422" s="118"/>
      <c r="BU422" s="118"/>
    </row>
    <row r="423" spans="15:73"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  <c r="AU423" s="118"/>
      <c r="AV423" s="118"/>
      <c r="AW423" s="118"/>
      <c r="AX423" s="118"/>
      <c r="AY423" s="118"/>
      <c r="AZ423" s="118"/>
      <c r="BA423" s="118"/>
      <c r="BB423" s="118"/>
      <c r="BC423" s="118"/>
      <c r="BD423" s="118"/>
      <c r="BE423" s="118"/>
      <c r="BF423" s="118"/>
      <c r="BG423" s="118"/>
      <c r="BH423" s="118"/>
      <c r="BI423" s="118"/>
      <c r="BJ423" s="118"/>
      <c r="BK423" s="118"/>
      <c r="BL423" s="118"/>
      <c r="BM423" s="118"/>
      <c r="BN423" s="118"/>
      <c r="BO423" s="118"/>
      <c r="BP423" s="118"/>
      <c r="BQ423" s="118"/>
      <c r="BR423" s="118"/>
      <c r="BS423" s="118"/>
      <c r="BT423" s="118"/>
      <c r="BU423" s="118"/>
    </row>
    <row r="424" spans="15:73"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  <c r="BB424" s="118"/>
      <c r="BC424" s="118"/>
      <c r="BD424" s="118"/>
      <c r="BE424" s="118"/>
      <c r="BF424" s="118"/>
      <c r="BG424" s="118"/>
      <c r="BH424" s="118"/>
      <c r="BI424" s="118"/>
      <c r="BJ424" s="118"/>
      <c r="BK424" s="118"/>
      <c r="BL424" s="118"/>
      <c r="BM424" s="118"/>
      <c r="BN424" s="118"/>
      <c r="BO424" s="118"/>
      <c r="BP424" s="118"/>
      <c r="BQ424" s="118"/>
      <c r="BR424" s="118"/>
      <c r="BS424" s="118"/>
      <c r="BT424" s="118"/>
      <c r="BU424" s="118"/>
    </row>
    <row r="425" spans="15:73"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  <c r="AU425" s="118"/>
      <c r="AV425" s="118"/>
      <c r="AW425" s="118"/>
      <c r="AX425" s="118"/>
      <c r="AY425" s="118"/>
      <c r="AZ425" s="118"/>
      <c r="BA425" s="118"/>
      <c r="BB425" s="118"/>
      <c r="BC425" s="118"/>
      <c r="BD425" s="118"/>
      <c r="BE425" s="118"/>
      <c r="BF425" s="118"/>
      <c r="BG425" s="118"/>
      <c r="BH425" s="118"/>
      <c r="BI425" s="118"/>
      <c r="BJ425" s="118"/>
      <c r="BK425" s="118"/>
      <c r="BL425" s="118"/>
      <c r="BM425" s="118"/>
      <c r="BN425" s="118"/>
      <c r="BO425" s="118"/>
      <c r="BP425" s="118"/>
      <c r="BQ425" s="118"/>
      <c r="BR425" s="118"/>
      <c r="BS425" s="118"/>
      <c r="BT425" s="118"/>
      <c r="BU425" s="118"/>
    </row>
    <row r="426" spans="15:73"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118"/>
      <c r="AZ426" s="118"/>
      <c r="BA426" s="118"/>
      <c r="BB426" s="118"/>
      <c r="BC426" s="118"/>
      <c r="BD426" s="118"/>
      <c r="BE426" s="118"/>
      <c r="BF426" s="118"/>
      <c r="BG426" s="118"/>
      <c r="BH426" s="118"/>
      <c r="BI426" s="118"/>
      <c r="BJ426" s="118"/>
      <c r="BK426" s="118"/>
      <c r="BL426" s="118"/>
      <c r="BM426" s="118"/>
      <c r="BN426" s="118"/>
      <c r="BO426" s="118"/>
      <c r="BP426" s="118"/>
      <c r="BQ426" s="118"/>
      <c r="BR426" s="118"/>
      <c r="BS426" s="118"/>
      <c r="BT426" s="118"/>
      <c r="BU426" s="118"/>
    </row>
    <row r="427" spans="15:73"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  <c r="BB427" s="118"/>
      <c r="BC427" s="118"/>
      <c r="BD427" s="118"/>
      <c r="BE427" s="118"/>
      <c r="BF427" s="118"/>
      <c r="BG427" s="118"/>
      <c r="BH427" s="118"/>
      <c r="BI427" s="118"/>
      <c r="BJ427" s="118"/>
      <c r="BK427" s="118"/>
      <c r="BL427" s="118"/>
      <c r="BM427" s="118"/>
      <c r="BN427" s="118"/>
      <c r="BO427" s="118"/>
      <c r="BP427" s="118"/>
      <c r="BQ427" s="118"/>
      <c r="BR427" s="118"/>
      <c r="BS427" s="118"/>
      <c r="BT427" s="118"/>
      <c r="BU427" s="118"/>
    </row>
    <row r="428" spans="15:73"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  <c r="AU428" s="118"/>
      <c r="AV428" s="118"/>
      <c r="AW428" s="118"/>
      <c r="AX428" s="118"/>
      <c r="AY428" s="118"/>
      <c r="AZ428" s="118"/>
      <c r="BA428" s="118"/>
      <c r="BB428" s="118"/>
      <c r="BC428" s="118"/>
      <c r="BD428" s="118"/>
      <c r="BE428" s="118"/>
      <c r="BF428" s="118"/>
      <c r="BG428" s="118"/>
      <c r="BH428" s="118"/>
      <c r="BI428" s="118"/>
      <c r="BJ428" s="118"/>
      <c r="BK428" s="118"/>
      <c r="BL428" s="118"/>
      <c r="BM428" s="118"/>
      <c r="BN428" s="118"/>
      <c r="BO428" s="118"/>
      <c r="BP428" s="118"/>
      <c r="BQ428" s="118"/>
      <c r="BR428" s="118"/>
      <c r="BS428" s="118"/>
      <c r="BT428" s="118"/>
      <c r="BU428" s="118"/>
    </row>
    <row r="429" spans="15:73"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  <c r="AU429" s="118"/>
      <c r="AV429" s="118"/>
      <c r="AW429" s="118"/>
      <c r="AX429" s="118"/>
      <c r="AY429" s="118"/>
      <c r="AZ429" s="118"/>
      <c r="BA429" s="118"/>
      <c r="BB429" s="118"/>
      <c r="BC429" s="118"/>
      <c r="BD429" s="118"/>
      <c r="BE429" s="118"/>
      <c r="BF429" s="118"/>
      <c r="BG429" s="118"/>
      <c r="BH429" s="118"/>
      <c r="BI429" s="118"/>
      <c r="BJ429" s="118"/>
      <c r="BK429" s="118"/>
      <c r="BL429" s="118"/>
      <c r="BM429" s="118"/>
      <c r="BN429" s="118"/>
      <c r="BO429" s="118"/>
      <c r="BP429" s="118"/>
      <c r="BQ429" s="118"/>
      <c r="BR429" s="118"/>
      <c r="BS429" s="118"/>
      <c r="BT429" s="118"/>
      <c r="BU429" s="118"/>
    </row>
    <row r="430" spans="15:73"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  <c r="AU430" s="118"/>
      <c r="AV430" s="118"/>
      <c r="AW430" s="118"/>
      <c r="AX430" s="118"/>
      <c r="AY430" s="118"/>
      <c r="AZ430" s="118"/>
      <c r="BA430" s="118"/>
      <c r="BB430" s="118"/>
      <c r="BC430" s="118"/>
      <c r="BD430" s="118"/>
      <c r="BE430" s="118"/>
      <c r="BF430" s="118"/>
      <c r="BG430" s="118"/>
      <c r="BH430" s="118"/>
      <c r="BI430" s="118"/>
      <c r="BJ430" s="118"/>
      <c r="BK430" s="118"/>
      <c r="BL430" s="118"/>
      <c r="BM430" s="118"/>
      <c r="BN430" s="118"/>
      <c r="BO430" s="118"/>
      <c r="BP430" s="118"/>
      <c r="BQ430" s="118"/>
      <c r="BR430" s="118"/>
      <c r="BS430" s="118"/>
      <c r="BT430" s="118"/>
      <c r="BU430" s="118"/>
    </row>
    <row r="431" spans="15:73"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  <c r="BB431" s="118"/>
      <c r="BC431" s="118"/>
      <c r="BD431" s="118"/>
      <c r="BE431" s="118"/>
      <c r="BF431" s="118"/>
      <c r="BG431" s="118"/>
      <c r="BH431" s="118"/>
      <c r="BI431" s="118"/>
      <c r="BJ431" s="118"/>
      <c r="BK431" s="118"/>
      <c r="BL431" s="118"/>
      <c r="BM431" s="118"/>
      <c r="BN431" s="118"/>
      <c r="BO431" s="118"/>
      <c r="BP431" s="118"/>
      <c r="BQ431" s="118"/>
      <c r="BR431" s="118"/>
      <c r="BS431" s="118"/>
      <c r="BT431" s="118"/>
      <c r="BU431" s="118"/>
    </row>
    <row r="432" spans="15:73"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  <c r="BB432" s="118"/>
      <c r="BC432" s="118"/>
      <c r="BD432" s="118"/>
      <c r="BE432" s="118"/>
      <c r="BF432" s="118"/>
      <c r="BG432" s="118"/>
      <c r="BH432" s="118"/>
      <c r="BI432" s="118"/>
      <c r="BJ432" s="118"/>
      <c r="BK432" s="118"/>
      <c r="BL432" s="118"/>
      <c r="BM432" s="118"/>
      <c r="BN432" s="118"/>
      <c r="BO432" s="118"/>
      <c r="BP432" s="118"/>
      <c r="BQ432" s="118"/>
      <c r="BR432" s="118"/>
      <c r="BS432" s="118"/>
      <c r="BT432" s="118"/>
      <c r="BU432" s="118"/>
    </row>
    <row r="433" spans="15:73"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118"/>
      <c r="AZ433" s="118"/>
      <c r="BA433" s="118"/>
      <c r="BB433" s="118"/>
      <c r="BC433" s="118"/>
      <c r="BD433" s="118"/>
      <c r="BE433" s="118"/>
      <c r="BF433" s="118"/>
      <c r="BG433" s="118"/>
      <c r="BH433" s="118"/>
      <c r="BI433" s="118"/>
      <c r="BJ433" s="118"/>
      <c r="BK433" s="118"/>
      <c r="BL433" s="118"/>
      <c r="BM433" s="118"/>
      <c r="BN433" s="118"/>
      <c r="BO433" s="118"/>
      <c r="BP433" s="118"/>
      <c r="BQ433" s="118"/>
      <c r="BR433" s="118"/>
      <c r="BS433" s="118"/>
      <c r="BT433" s="118"/>
      <c r="BU433" s="118"/>
    </row>
    <row r="434" spans="15:73"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8"/>
      <c r="AU434" s="118"/>
      <c r="AV434" s="118"/>
      <c r="AW434" s="118"/>
      <c r="AX434" s="118"/>
      <c r="AY434" s="118"/>
      <c r="AZ434" s="118"/>
      <c r="BA434" s="118"/>
      <c r="BB434" s="118"/>
      <c r="BC434" s="118"/>
      <c r="BD434" s="118"/>
      <c r="BE434" s="118"/>
      <c r="BF434" s="118"/>
      <c r="BG434" s="118"/>
      <c r="BH434" s="118"/>
      <c r="BI434" s="118"/>
      <c r="BJ434" s="118"/>
      <c r="BK434" s="118"/>
      <c r="BL434" s="118"/>
      <c r="BM434" s="118"/>
      <c r="BN434" s="118"/>
      <c r="BO434" s="118"/>
      <c r="BP434" s="118"/>
      <c r="BQ434" s="118"/>
      <c r="BR434" s="118"/>
      <c r="BS434" s="118"/>
      <c r="BT434" s="118"/>
      <c r="BU434" s="118"/>
    </row>
    <row r="435" spans="15:73"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8"/>
      <c r="AU435" s="118"/>
      <c r="AV435" s="118"/>
      <c r="AW435" s="118"/>
      <c r="AX435" s="118"/>
      <c r="AY435" s="118"/>
      <c r="AZ435" s="118"/>
      <c r="BA435" s="118"/>
      <c r="BB435" s="118"/>
      <c r="BC435" s="118"/>
      <c r="BD435" s="118"/>
      <c r="BE435" s="118"/>
      <c r="BF435" s="118"/>
      <c r="BG435" s="118"/>
      <c r="BH435" s="118"/>
      <c r="BI435" s="118"/>
      <c r="BJ435" s="118"/>
      <c r="BK435" s="118"/>
      <c r="BL435" s="118"/>
      <c r="BM435" s="118"/>
      <c r="BN435" s="118"/>
      <c r="BO435" s="118"/>
      <c r="BP435" s="118"/>
      <c r="BQ435" s="118"/>
      <c r="BR435" s="118"/>
      <c r="BS435" s="118"/>
      <c r="BT435" s="118"/>
      <c r="BU435" s="118"/>
    </row>
    <row r="436" spans="15:73"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8"/>
      <c r="AU436" s="118"/>
      <c r="AV436" s="118"/>
      <c r="AW436" s="118"/>
      <c r="AX436" s="118"/>
      <c r="AY436" s="118"/>
      <c r="AZ436" s="118"/>
      <c r="BA436" s="118"/>
      <c r="BB436" s="118"/>
      <c r="BC436" s="118"/>
      <c r="BD436" s="118"/>
      <c r="BE436" s="118"/>
      <c r="BF436" s="118"/>
      <c r="BG436" s="118"/>
      <c r="BH436" s="118"/>
      <c r="BI436" s="118"/>
      <c r="BJ436" s="118"/>
      <c r="BK436" s="118"/>
      <c r="BL436" s="118"/>
      <c r="BM436" s="118"/>
      <c r="BN436" s="118"/>
      <c r="BO436" s="118"/>
      <c r="BP436" s="118"/>
      <c r="BQ436" s="118"/>
      <c r="BR436" s="118"/>
      <c r="BS436" s="118"/>
      <c r="BT436" s="118"/>
      <c r="BU436" s="118"/>
    </row>
    <row r="437" spans="15:73"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  <c r="AT437" s="118"/>
      <c r="AU437" s="118"/>
      <c r="AV437" s="118"/>
      <c r="AW437" s="118"/>
      <c r="AX437" s="118"/>
      <c r="AY437" s="118"/>
      <c r="AZ437" s="118"/>
      <c r="BA437" s="118"/>
      <c r="BB437" s="118"/>
      <c r="BC437" s="118"/>
      <c r="BD437" s="118"/>
      <c r="BE437" s="118"/>
      <c r="BF437" s="118"/>
      <c r="BG437" s="118"/>
      <c r="BH437" s="118"/>
      <c r="BI437" s="118"/>
      <c r="BJ437" s="118"/>
      <c r="BK437" s="118"/>
      <c r="BL437" s="118"/>
      <c r="BM437" s="118"/>
      <c r="BN437" s="118"/>
      <c r="BO437" s="118"/>
      <c r="BP437" s="118"/>
      <c r="BQ437" s="118"/>
      <c r="BR437" s="118"/>
      <c r="BS437" s="118"/>
      <c r="BT437" s="118"/>
      <c r="BU437" s="118"/>
    </row>
    <row r="438" spans="15:73"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8"/>
      <c r="AU438" s="118"/>
      <c r="AV438" s="118"/>
      <c r="AW438" s="118"/>
      <c r="AX438" s="118"/>
      <c r="AY438" s="118"/>
      <c r="AZ438" s="118"/>
      <c r="BA438" s="118"/>
      <c r="BB438" s="118"/>
      <c r="BC438" s="118"/>
      <c r="BD438" s="118"/>
      <c r="BE438" s="118"/>
      <c r="BF438" s="118"/>
      <c r="BG438" s="118"/>
      <c r="BH438" s="118"/>
      <c r="BI438" s="118"/>
      <c r="BJ438" s="118"/>
      <c r="BK438" s="118"/>
      <c r="BL438" s="118"/>
      <c r="BM438" s="118"/>
      <c r="BN438" s="118"/>
      <c r="BO438" s="118"/>
      <c r="BP438" s="118"/>
      <c r="BQ438" s="118"/>
      <c r="BR438" s="118"/>
      <c r="BS438" s="118"/>
      <c r="BT438" s="118"/>
      <c r="BU438" s="118"/>
    </row>
    <row r="439" spans="15:73"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  <c r="BB439" s="118"/>
      <c r="BC439" s="118"/>
      <c r="BD439" s="118"/>
      <c r="BE439" s="118"/>
      <c r="BF439" s="118"/>
      <c r="BG439" s="118"/>
      <c r="BH439" s="118"/>
      <c r="BI439" s="118"/>
      <c r="BJ439" s="118"/>
      <c r="BK439" s="118"/>
      <c r="BL439" s="118"/>
      <c r="BM439" s="118"/>
      <c r="BN439" s="118"/>
      <c r="BO439" s="118"/>
      <c r="BP439" s="118"/>
      <c r="BQ439" s="118"/>
      <c r="BR439" s="118"/>
      <c r="BS439" s="118"/>
      <c r="BT439" s="118"/>
      <c r="BU439" s="118"/>
    </row>
    <row r="440" spans="15:73"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  <c r="BB440" s="118"/>
      <c r="BC440" s="118"/>
      <c r="BD440" s="118"/>
      <c r="BE440" s="118"/>
      <c r="BF440" s="118"/>
      <c r="BG440" s="118"/>
      <c r="BH440" s="118"/>
      <c r="BI440" s="118"/>
      <c r="BJ440" s="118"/>
      <c r="BK440" s="118"/>
      <c r="BL440" s="118"/>
      <c r="BM440" s="118"/>
      <c r="BN440" s="118"/>
      <c r="BO440" s="118"/>
      <c r="BP440" s="118"/>
      <c r="BQ440" s="118"/>
      <c r="BR440" s="118"/>
      <c r="BS440" s="118"/>
      <c r="BT440" s="118"/>
      <c r="BU440" s="118"/>
    </row>
    <row r="441" spans="15:73"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  <c r="BB441" s="118"/>
      <c r="BC441" s="118"/>
      <c r="BD441" s="118"/>
      <c r="BE441" s="118"/>
      <c r="BF441" s="118"/>
      <c r="BG441" s="118"/>
      <c r="BH441" s="118"/>
      <c r="BI441" s="118"/>
      <c r="BJ441" s="118"/>
      <c r="BK441" s="118"/>
      <c r="BL441" s="118"/>
      <c r="BM441" s="118"/>
      <c r="BN441" s="118"/>
      <c r="BO441" s="118"/>
      <c r="BP441" s="118"/>
      <c r="BQ441" s="118"/>
      <c r="BR441" s="118"/>
      <c r="BS441" s="118"/>
      <c r="BT441" s="118"/>
      <c r="BU441" s="118"/>
    </row>
    <row r="442" spans="15:73"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  <c r="BB442" s="118"/>
      <c r="BC442" s="118"/>
      <c r="BD442" s="118"/>
      <c r="BE442" s="118"/>
      <c r="BF442" s="118"/>
      <c r="BG442" s="118"/>
      <c r="BH442" s="118"/>
      <c r="BI442" s="118"/>
      <c r="BJ442" s="118"/>
      <c r="BK442" s="118"/>
      <c r="BL442" s="118"/>
      <c r="BM442" s="118"/>
      <c r="BN442" s="118"/>
      <c r="BO442" s="118"/>
      <c r="BP442" s="118"/>
      <c r="BQ442" s="118"/>
      <c r="BR442" s="118"/>
      <c r="BS442" s="118"/>
      <c r="BT442" s="118"/>
      <c r="BU442" s="118"/>
    </row>
    <row r="443" spans="15:73"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  <c r="BB443" s="118"/>
      <c r="BC443" s="118"/>
      <c r="BD443" s="118"/>
      <c r="BE443" s="118"/>
      <c r="BF443" s="118"/>
      <c r="BG443" s="118"/>
      <c r="BH443" s="118"/>
      <c r="BI443" s="118"/>
      <c r="BJ443" s="118"/>
      <c r="BK443" s="118"/>
      <c r="BL443" s="118"/>
      <c r="BM443" s="118"/>
      <c r="BN443" s="118"/>
      <c r="BO443" s="118"/>
      <c r="BP443" s="118"/>
      <c r="BQ443" s="118"/>
      <c r="BR443" s="118"/>
      <c r="BS443" s="118"/>
      <c r="BT443" s="118"/>
      <c r="BU443" s="118"/>
    </row>
    <row r="444" spans="15:73"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  <c r="BB444" s="118"/>
      <c r="BC444" s="118"/>
      <c r="BD444" s="118"/>
      <c r="BE444" s="118"/>
      <c r="BF444" s="118"/>
      <c r="BG444" s="118"/>
      <c r="BH444" s="118"/>
      <c r="BI444" s="118"/>
      <c r="BJ444" s="118"/>
      <c r="BK444" s="118"/>
      <c r="BL444" s="118"/>
      <c r="BM444" s="118"/>
      <c r="BN444" s="118"/>
      <c r="BO444" s="118"/>
      <c r="BP444" s="118"/>
      <c r="BQ444" s="118"/>
      <c r="BR444" s="118"/>
      <c r="BS444" s="118"/>
      <c r="BT444" s="118"/>
      <c r="BU444" s="118"/>
    </row>
    <row r="445" spans="15:73"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  <c r="BB445" s="118"/>
      <c r="BC445" s="118"/>
      <c r="BD445" s="118"/>
      <c r="BE445" s="118"/>
      <c r="BF445" s="118"/>
      <c r="BG445" s="118"/>
      <c r="BH445" s="118"/>
      <c r="BI445" s="118"/>
      <c r="BJ445" s="118"/>
      <c r="BK445" s="118"/>
      <c r="BL445" s="118"/>
      <c r="BM445" s="118"/>
      <c r="BN445" s="118"/>
      <c r="BO445" s="118"/>
      <c r="BP445" s="118"/>
      <c r="BQ445" s="118"/>
      <c r="BR445" s="118"/>
      <c r="BS445" s="118"/>
      <c r="BT445" s="118"/>
      <c r="BU445" s="118"/>
    </row>
    <row r="446" spans="15:73"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  <c r="BB446" s="118"/>
      <c r="BC446" s="118"/>
      <c r="BD446" s="118"/>
      <c r="BE446" s="118"/>
      <c r="BF446" s="118"/>
      <c r="BG446" s="118"/>
      <c r="BH446" s="118"/>
      <c r="BI446" s="118"/>
      <c r="BJ446" s="118"/>
      <c r="BK446" s="118"/>
      <c r="BL446" s="118"/>
      <c r="BM446" s="118"/>
      <c r="BN446" s="118"/>
      <c r="BO446" s="118"/>
      <c r="BP446" s="118"/>
      <c r="BQ446" s="118"/>
      <c r="BR446" s="118"/>
      <c r="BS446" s="118"/>
      <c r="BT446" s="118"/>
      <c r="BU446" s="118"/>
    </row>
    <row r="447" spans="15:73"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  <c r="BB447" s="118"/>
      <c r="BC447" s="118"/>
      <c r="BD447" s="118"/>
      <c r="BE447" s="118"/>
      <c r="BF447" s="118"/>
      <c r="BG447" s="118"/>
      <c r="BH447" s="118"/>
      <c r="BI447" s="118"/>
      <c r="BJ447" s="118"/>
      <c r="BK447" s="118"/>
      <c r="BL447" s="118"/>
      <c r="BM447" s="118"/>
      <c r="BN447" s="118"/>
      <c r="BO447" s="118"/>
      <c r="BP447" s="118"/>
      <c r="BQ447" s="118"/>
      <c r="BR447" s="118"/>
      <c r="BS447" s="118"/>
      <c r="BT447" s="118"/>
      <c r="BU447" s="118"/>
    </row>
    <row r="448" spans="15:73"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  <c r="BB448" s="118"/>
      <c r="BC448" s="118"/>
      <c r="BD448" s="118"/>
      <c r="BE448" s="118"/>
      <c r="BF448" s="118"/>
      <c r="BG448" s="118"/>
      <c r="BH448" s="118"/>
      <c r="BI448" s="118"/>
      <c r="BJ448" s="118"/>
      <c r="BK448" s="118"/>
      <c r="BL448" s="118"/>
      <c r="BM448" s="118"/>
      <c r="BN448" s="118"/>
      <c r="BO448" s="118"/>
      <c r="BP448" s="118"/>
      <c r="BQ448" s="118"/>
      <c r="BR448" s="118"/>
      <c r="BS448" s="118"/>
      <c r="BT448" s="118"/>
      <c r="BU448" s="118"/>
    </row>
    <row r="449" spans="15:73"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  <c r="BB449" s="118"/>
      <c r="BC449" s="118"/>
      <c r="BD449" s="118"/>
      <c r="BE449" s="118"/>
      <c r="BF449" s="118"/>
      <c r="BG449" s="118"/>
      <c r="BH449" s="118"/>
      <c r="BI449" s="118"/>
      <c r="BJ449" s="118"/>
      <c r="BK449" s="118"/>
      <c r="BL449" s="118"/>
      <c r="BM449" s="118"/>
      <c r="BN449" s="118"/>
      <c r="BO449" s="118"/>
      <c r="BP449" s="118"/>
      <c r="BQ449" s="118"/>
      <c r="BR449" s="118"/>
      <c r="BS449" s="118"/>
      <c r="BT449" s="118"/>
      <c r="BU449" s="118"/>
    </row>
    <row r="450" spans="15:73"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  <c r="BB450" s="118"/>
      <c r="BC450" s="118"/>
      <c r="BD450" s="118"/>
      <c r="BE450" s="118"/>
      <c r="BF450" s="118"/>
      <c r="BG450" s="118"/>
      <c r="BH450" s="118"/>
      <c r="BI450" s="118"/>
      <c r="BJ450" s="118"/>
      <c r="BK450" s="118"/>
      <c r="BL450" s="118"/>
      <c r="BM450" s="118"/>
      <c r="BN450" s="118"/>
      <c r="BO450" s="118"/>
      <c r="BP450" s="118"/>
      <c r="BQ450" s="118"/>
      <c r="BR450" s="118"/>
      <c r="BS450" s="118"/>
      <c r="BT450" s="118"/>
      <c r="BU450" s="118"/>
    </row>
    <row r="451" spans="15:73"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  <c r="BB451" s="118"/>
      <c r="BC451" s="118"/>
      <c r="BD451" s="118"/>
      <c r="BE451" s="118"/>
      <c r="BF451" s="118"/>
      <c r="BG451" s="118"/>
      <c r="BH451" s="118"/>
      <c r="BI451" s="118"/>
      <c r="BJ451" s="118"/>
      <c r="BK451" s="118"/>
      <c r="BL451" s="118"/>
      <c r="BM451" s="118"/>
      <c r="BN451" s="118"/>
      <c r="BO451" s="118"/>
      <c r="BP451" s="118"/>
      <c r="BQ451" s="118"/>
      <c r="BR451" s="118"/>
      <c r="BS451" s="118"/>
      <c r="BT451" s="118"/>
      <c r="BU451" s="118"/>
    </row>
    <row r="452" spans="15:73"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  <c r="BB452" s="118"/>
      <c r="BC452" s="118"/>
      <c r="BD452" s="118"/>
      <c r="BE452" s="118"/>
      <c r="BF452" s="118"/>
      <c r="BG452" s="118"/>
      <c r="BH452" s="118"/>
      <c r="BI452" s="118"/>
      <c r="BJ452" s="118"/>
      <c r="BK452" s="118"/>
      <c r="BL452" s="118"/>
      <c r="BM452" s="118"/>
      <c r="BN452" s="118"/>
      <c r="BO452" s="118"/>
      <c r="BP452" s="118"/>
      <c r="BQ452" s="118"/>
      <c r="BR452" s="118"/>
      <c r="BS452" s="118"/>
      <c r="BT452" s="118"/>
      <c r="BU452" s="118"/>
    </row>
    <row r="453" spans="15:73"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  <c r="BB453" s="118"/>
      <c r="BC453" s="118"/>
      <c r="BD453" s="118"/>
      <c r="BE453" s="118"/>
      <c r="BF453" s="118"/>
      <c r="BG453" s="118"/>
      <c r="BH453" s="118"/>
      <c r="BI453" s="118"/>
      <c r="BJ453" s="118"/>
      <c r="BK453" s="118"/>
      <c r="BL453" s="118"/>
      <c r="BM453" s="118"/>
      <c r="BN453" s="118"/>
      <c r="BO453" s="118"/>
      <c r="BP453" s="118"/>
      <c r="BQ453" s="118"/>
      <c r="BR453" s="118"/>
      <c r="BS453" s="118"/>
      <c r="BT453" s="118"/>
      <c r="BU453" s="118"/>
    </row>
    <row r="454" spans="15:73"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  <c r="BB454" s="118"/>
      <c r="BC454" s="118"/>
      <c r="BD454" s="118"/>
      <c r="BE454" s="118"/>
      <c r="BF454" s="118"/>
      <c r="BG454" s="118"/>
      <c r="BH454" s="118"/>
      <c r="BI454" s="118"/>
      <c r="BJ454" s="118"/>
      <c r="BK454" s="118"/>
      <c r="BL454" s="118"/>
      <c r="BM454" s="118"/>
      <c r="BN454" s="118"/>
      <c r="BO454" s="118"/>
      <c r="BP454" s="118"/>
      <c r="BQ454" s="118"/>
      <c r="BR454" s="118"/>
      <c r="BS454" s="118"/>
      <c r="BT454" s="118"/>
      <c r="BU454" s="118"/>
    </row>
    <row r="455" spans="15:73"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  <c r="BB455" s="118"/>
      <c r="BC455" s="118"/>
      <c r="BD455" s="118"/>
      <c r="BE455" s="118"/>
      <c r="BF455" s="118"/>
      <c r="BG455" s="118"/>
      <c r="BH455" s="118"/>
      <c r="BI455" s="118"/>
      <c r="BJ455" s="118"/>
      <c r="BK455" s="118"/>
      <c r="BL455" s="118"/>
      <c r="BM455" s="118"/>
      <c r="BN455" s="118"/>
      <c r="BO455" s="118"/>
      <c r="BP455" s="118"/>
      <c r="BQ455" s="118"/>
      <c r="BR455" s="118"/>
      <c r="BS455" s="118"/>
      <c r="BT455" s="118"/>
      <c r="BU455" s="118"/>
    </row>
    <row r="456" spans="15:73"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  <c r="BB456" s="118"/>
      <c r="BC456" s="118"/>
      <c r="BD456" s="118"/>
      <c r="BE456" s="118"/>
      <c r="BF456" s="118"/>
      <c r="BG456" s="118"/>
      <c r="BH456" s="118"/>
      <c r="BI456" s="118"/>
      <c r="BJ456" s="118"/>
      <c r="BK456" s="118"/>
      <c r="BL456" s="118"/>
      <c r="BM456" s="118"/>
      <c r="BN456" s="118"/>
      <c r="BO456" s="118"/>
      <c r="BP456" s="118"/>
      <c r="BQ456" s="118"/>
      <c r="BR456" s="118"/>
      <c r="BS456" s="118"/>
      <c r="BT456" s="118"/>
      <c r="BU456" s="118"/>
    </row>
    <row r="457" spans="15:73"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  <c r="BB457" s="118"/>
      <c r="BC457" s="118"/>
      <c r="BD457" s="118"/>
      <c r="BE457" s="118"/>
      <c r="BF457" s="118"/>
      <c r="BG457" s="118"/>
      <c r="BH457" s="118"/>
      <c r="BI457" s="118"/>
      <c r="BJ457" s="118"/>
      <c r="BK457" s="118"/>
      <c r="BL457" s="118"/>
      <c r="BM457" s="118"/>
      <c r="BN457" s="118"/>
      <c r="BO457" s="118"/>
      <c r="BP457" s="118"/>
      <c r="BQ457" s="118"/>
      <c r="BR457" s="118"/>
      <c r="BS457" s="118"/>
      <c r="BT457" s="118"/>
      <c r="BU457" s="118"/>
    </row>
    <row r="458" spans="15:73"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  <c r="BB458" s="118"/>
      <c r="BC458" s="118"/>
      <c r="BD458" s="118"/>
      <c r="BE458" s="118"/>
      <c r="BF458" s="118"/>
      <c r="BG458" s="118"/>
      <c r="BH458" s="118"/>
      <c r="BI458" s="118"/>
      <c r="BJ458" s="118"/>
      <c r="BK458" s="118"/>
      <c r="BL458" s="118"/>
      <c r="BM458" s="118"/>
      <c r="BN458" s="118"/>
      <c r="BO458" s="118"/>
      <c r="BP458" s="118"/>
      <c r="BQ458" s="118"/>
      <c r="BR458" s="118"/>
      <c r="BS458" s="118"/>
      <c r="BT458" s="118"/>
      <c r="BU458" s="118"/>
    </row>
    <row r="459" spans="15:73"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  <c r="BB459" s="118"/>
      <c r="BC459" s="118"/>
      <c r="BD459" s="118"/>
      <c r="BE459" s="118"/>
      <c r="BF459" s="118"/>
      <c r="BG459" s="118"/>
      <c r="BH459" s="118"/>
      <c r="BI459" s="118"/>
      <c r="BJ459" s="118"/>
      <c r="BK459" s="118"/>
      <c r="BL459" s="118"/>
      <c r="BM459" s="118"/>
      <c r="BN459" s="118"/>
      <c r="BO459" s="118"/>
      <c r="BP459" s="118"/>
      <c r="BQ459" s="118"/>
      <c r="BR459" s="118"/>
      <c r="BS459" s="118"/>
      <c r="BT459" s="118"/>
      <c r="BU459" s="118"/>
    </row>
    <row r="460" spans="15:73"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  <c r="BB460" s="118"/>
      <c r="BC460" s="118"/>
      <c r="BD460" s="118"/>
      <c r="BE460" s="118"/>
      <c r="BF460" s="118"/>
      <c r="BG460" s="118"/>
      <c r="BH460" s="118"/>
      <c r="BI460" s="118"/>
      <c r="BJ460" s="118"/>
      <c r="BK460" s="118"/>
      <c r="BL460" s="118"/>
      <c r="BM460" s="118"/>
      <c r="BN460" s="118"/>
      <c r="BO460" s="118"/>
      <c r="BP460" s="118"/>
      <c r="BQ460" s="118"/>
      <c r="BR460" s="118"/>
      <c r="BS460" s="118"/>
      <c r="BT460" s="118"/>
      <c r="BU460" s="118"/>
    </row>
    <row r="461" spans="15:73"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  <c r="BB461" s="118"/>
      <c r="BC461" s="118"/>
      <c r="BD461" s="118"/>
      <c r="BE461" s="118"/>
      <c r="BF461" s="118"/>
      <c r="BG461" s="118"/>
      <c r="BH461" s="118"/>
      <c r="BI461" s="118"/>
      <c r="BJ461" s="118"/>
      <c r="BK461" s="118"/>
      <c r="BL461" s="118"/>
      <c r="BM461" s="118"/>
      <c r="BN461" s="118"/>
      <c r="BO461" s="118"/>
      <c r="BP461" s="118"/>
      <c r="BQ461" s="118"/>
      <c r="BR461" s="118"/>
      <c r="BS461" s="118"/>
      <c r="BT461" s="118"/>
      <c r="BU461" s="118"/>
    </row>
    <row r="462" spans="15:73"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  <c r="BB462" s="118"/>
      <c r="BC462" s="118"/>
      <c r="BD462" s="118"/>
      <c r="BE462" s="118"/>
      <c r="BF462" s="118"/>
      <c r="BG462" s="118"/>
      <c r="BH462" s="118"/>
      <c r="BI462" s="118"/>
      <c r="BJ462" s="118"/>
      <c r="BK462" s="118"/>
      <c r="BL462" s="118"/>
      <c r="BM462" s="118"/>
      <c r="BN462" s="118"/>
      <c r="BO462" s="118"/>
      <c r="BP462" s="118"/>
      <c r="BQ462" s="118"/>
      <c r="BR462" s="118"/>
      <c r="BS462" s="118"/>
      <c r="BT462" s="118"/>
      <c r="BU462" s="118"/>
    </row>
    <row r="463" spans="15:73"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  <c r="BB463" s="118"/>
      <c r="BC463" s="118"/>
      <c r="BD463" s="118"/>
      <c r="BE463" s="118"/>
      <c r="BF463" s="118"/>
      <c r="BG463" s="118"/>
      <c r="BH463" s="118"/>
      <c r="BI463" s="118"/>
      <c r="BJ463" s="118"/>
      <c r="BK463" s="118"/>
      <c r="BL463" s="118"/>
      <c r="BM463" s="118"/>
      <c r="BN463" s="118"/>
      <c r="BO463" s="118"/>
      <c r="BP463" s="118"/>
      <c r="BQ463" s="118"/>
      <c r="BR463" s="118"/>
      <c r="BS463" s="118"/>
      <c r="BT463" s="118"/>
      <c r="BU463" s="118"/>
    </row>
    <row r="464" spans="15:73"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  <c r="BB464" s="118"/>
      <c r="BC464" s="118"/>
      <c r="BD464" s="118"/>
      <c r="BE464" s="118"/>
      <c r="BF464" s="118"/>
      <c r="BG464" s="118"/>
      <c r="BH464" s="118"/>
      <c r="BI464" s="118"/>
      <c r="BJ464" s="118"/>
      <c r="BK464" s="118"/>
      <c r="BL464" s="118"/>
      <c r="BM464" s="118"/>
      <c r="BN464" s="118"/>
      <c r="BO464" s="118"/>
      <c r="BP464" s="118"/>
      <c r="BQ464" s="118"/>
      <c r="BR464" s="118"/>
      <c r="BS464" s="118"/>
      <c r="BT464" s="118"/>
      <c r="BU464" s="118"/>
    </row>
    <row r="465" spans="15:73"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  <c r="BB465" s="118"/>
      <c r="BC465" s="118"/>
      <c r="BD465" s="118"/>
      <c r="BE465" s="118"/>
      <c r="BF465" s="118"/>
      <c r="BG465" s="118"/>
      <c r="BH465" s="118"/>
      <c r="BI465" s="118"/>
      <c r="BJ465" s="118"/>
      <c r="BK465" s="118"/>
      <c r="BL465" s="118"/>
      <c r="BM465" s="118"/>
      <c r="BN465" s="118"/>
      <c r="BO465" s="118"/>
      <c r="BP465" s="118"/>
      <c r="BQ465" s="118"/>
      <c r="BR465" s="118"/>
      <c r="BS465" s="118"/>
      <c r="BT465" s="118"/>
      <c r="BU465" s="118"/>
    </row>
    <row r="466" spans="15:73"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  <c r="BB466" s="118"/>
      <c r="BC466" s="118"/>
      <c r="BD466" s="118"/>
      <c r="BE466" s="118"/>
      <c r="BF466" s="118"/>
      <c r="BG466" s="118"/>
      <c r="BH466" s="118"/>
      <c r="BI466" s="118"/>
      <c r="BJ466" s="118"/>
      <c r="BK466" s="118"/>
      <c r="BL466" s="118"/>
      <c r="BM466" s="118"/>
      <c r="BN466" s="118"/>
      <c r="BO466" s="118"/>
      <c r="BP466" s="118"/>
      <c r="BQ466" s="118"/>
      <c r="BR466" s="118"/>
      <c r="BS466" s="118"/>
      <c r="BT466" s="118"/>
      <c r="BU466" s="118"/>
    </row>
    <row r="467" spans="15:73"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  <c r="BB467" s="118"/>
      <c r="BC467" s="118"/>
      <c r="BD467" s="118"/>
      <c r="BE467" s="118"/>
      <c r="BF467" s="118"/>
      <c r="BG467" s="118"/>
      <c r="BH467" s="118"/>
      <c r="BI467" s="118"/>
      <c r="BJ467" s="118"/>
      <c r="BK467" s="118"/>
      <c r="BL467" s="118"/>
      <c r="BM467" s="118"/>
      <c r="BN467" s="118"/>
      <c r="BO467" s="118"/>
      <c r="BP467" s="118"/>
      <c r="BQ467" s="118"/>
      <c r="BR467" s="118"/>
      <c r="BS467" s="118"/>
      <c r="BT467" s="118"/>
      <c r="BU467" s="118"/>
    </row>
    <row r="468" spans="15:73"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  <c r="BB468" s="118"/>
      <c r="BC468" s="118"/>
      <c r="BD468" s="118"/>
      <c r="BE468" s="118"/>
      <c r="BF468" s="118"/>
      <c r="BG468" s="118"/>
      <c r="BH468" s="118"/>
      <c r="BI468" s="118"/>
      <c r="BJ468" s="118"/>
      <c r="BK468" s="118"/>
      <c r="BL468" s="118"/>
      <c r="BM468" s="118"/>
      <c r="BN468" s="118"/>
      <c r="BO468" s="118"/>
      <c r="BP468" s="118"/>
      <c r="BQ468" s="118"/>
      <c r="BR468" s="118"/>
      <c r="BS468" s="118"/>
      <c r="BT468" s="118"/>
      <c r="BU468" s="118"/>
    </row>
    <row r="469" spans="15:73"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  <c r="BB469" s="118"/>
      <c r="BC469" s="118"/>
      <c r="BD469" s="118"/>
      <c r="BE469" s="118"/>
      <c r="BF469" s="118"/>
      <c r="BG469" s="118"/>
      <c r="BH469" s="118"/>
      <c r="BI469" s="118"/>
      <c r="BJ469" s="118"/>
      <c r="BK469" s="118"/>
      <c r="BL469" s="118"/>
      <c r="BM469" s="118"/>
      <c r="BN469" s="118"/>
      <c r="BO469" s="118"/>
      <c r="BP469" s="118"/>
      <c r="BQ469" s="118"/>
      <c r="BR469" s="118"/>
      <c r="BS469" s="118"/>
      <c r="BT469" s="118"/>
      <c r="BU469" s="118"/>
    </row>
    <row r="470" spans="15:73"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  <c r="BB470" s="118"/>
      <c r="BC470" s="118"/>
      <c r="BD470" s="118"/>
      <c r="BE470" s="118"/>
      <c r="BF470" s="118"/>
      <c r="BG470" s="118"/>
      <c r="BH470" s="118"/>
      <c r="BI470" s="118"/>
      <c r="BJ470" s="118"/>
      <c r="BK470" s="118"/>
      <c r="BL470" s="118"/>
      <c r="BM470" s="118"/>
      <c r="BN470" s="118"/>
      <c r="BO470" s="118"/>
      <c r="BP470" s="118"/>
      <c r="BQ470" s="118"/>
      <c r="BR470" s="118"/>
      <c r="BS470" s="118"/>
      <c r="BT470" s="118"/>
      <c r="BU470" s="118"/>
    </row>
    <row r="471" spans="15:73"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  <c r="BB471" s="118"/>
      <c r="BC471" s="118"/>
      <c r="BD471" s="118"/>
      <c r="BE471" s="118"/>
      <c r="BF471" s="118"/>
      <c r="BG471" s="118"/>
      <c r="BH471" s="118"/>
      <c r="BI471" s="118"/>
      <c r="BJ471" s="118"/>
      <c r="BK471" s="118"/>
      <c r="BL471" s="118"/>
      <c r="BM471" s="118"/>
      <c r="BN471" s="118"/>
      <c r="BO471" s="118"/>
      <c r="BP471" s="118"/>
      <c r="BQ471" s="118"/>
      <c r="BR471" s="118"/>
      <c r="BS471" s="118"/>
      <c r="BT471" s="118"/>
      <c r="BU471" s="118"/>
    </row>
    <row r="472" spans="15:73"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  <c r="BB472" s="118"/>
      <c r="BC472" s="118"/>
      <c r="BD472" s="118"/>
      <c r="BE472" s="118"/>
      <c r="BF472" s="118"/>
      <c r="BG472" s="118"/>
      <c r="BH472" s="118"/>
      <c r="BI472" s="118"/>
      <c r="BJ472" s="118"/>
      <c r="BK472" s="118"/>
      <c r="BL472" s="118"/>
      <c r="BM472" s="118"/>
      <c r="BN472" s="118"/>
      <c r="BO472" s="118"/>
      <c r="BP472" s="118"/>
      <c r="BQ472" s="118"/>
      <c r="BR472" s="118"/>
      <c r="BS472" s="118"/>
      <c r="BT472" s="118"/>
      <c r="BU472" s="118"/>
    </row>
    <row r="473" spans="15:73"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  <c r="BB473" s="118"/>
      <c r="BC473" s="118"/>
      <c r="BD473" s="118"/>
      <c r="BE473" s="118"/>
      <c r="BF473" s="118"/>
      <c r="BG473" s="118"/>
      <c r="BH473" s="118"/>
      <c r="BI473" s="118"/>
      <c r="BJ473" s="118"/>
      <c r="BK473" s="118"/>
      <c r="BL473" s="118"/>
      <c r="BM473" s="118"/>
      <c r="BN473" s="118"/>
      <c r="BO473" s="118"/>
      <c r="BP473" s="118"/>
      <c r="BQ473" s="118"/>
      <c r="BR473" s="118"/>
      <c r="BS473" s="118"/>
      <c r="BT473" s="118"/>
      <c r="BU473" s="118"/>
    </row>
    <row r="474" spans="15:73"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  <c r="BB474" s="118"/>
      <c r="BC474" s="118"/>
      <c r="BD474" s="118"/>
      <c r="BE474" s="118"/>
      <c r="BF474" s="118"/>
      <c r="BG474" s="118"/>
      <c r="BH474" s="118"/>
      <c r="BI474" s="118"/>
      <c r="BJ474" s="118"/>
      <c r="BK474" s="118"/>
      <c r="BL474" s="118"/>
      <c r="BM474" s="118"/>
      <c r="BN474" s="118"/>
      <c r="BO474" s="118"/>
      <c r="BP474" s="118"/>
      <c r="BQ474" s="118"/>
      <c r="BR474" s="118"/>
      <c r="BS474" s="118"/>
      <c r="BT474" s="118"/>
      <c r="BU474" s="118"/>
    </row>
    <row r="475" spans="15:73"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  <c r="BB475" s="118"/>
      <c r="BC475" s="118"/>
      <c r="BD475" s="118"/>
      <c r="BE475" s="118"/>
      <c r="BF475" s="118"/>
      <c r="BG475" s="118"/>
      <c r="BH475" s="118"/>
      <c r="BI475" s="118"/>
      <c r="BJ475" s="118"/>
      <c r="BK475" s="118"/>
      <c r="BL475" s="118"/>
      <c r="BM475" s="118"/>
      <c r="BN475" s="118"/>
      <c r="BO475" s="118"/>
      <c r="BP475" s="118"/>
      <c r="BQ475" s="118"/>
      <c r="BR475" s="118"/>
      <c r="BS475" s="118"/>
      <c r="BT475" s="118"/>
      <c r="BU475" s="118"/>
    </row>
    <row r="476" spans="15:73"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  <c r="BB476" s="118"/>
      <c r="BC476" s="118"/>
      <c r="BD476" s="118"/>
      <c r="BE476" s="118"/>
      <c r="BF476" s="118"/>
      <c r="BG476" s="118"/>
      <c r="BH476" s="118"/>
      <c r="BI476" s="118"/>
      <c r="BJ476" s="118"/>
      <c r="BK476" s="118"/>
      <c r="BL476" s="118"/>
      <c r="BM476" s="118"/>
      <c r="BN476" s="118"/>
      <c r="BO476" s="118"/>
      <c r="BP476" s="118"/>
      <c r="BQ476" s="118"/>
      <c r="BR476" s="118"/>
      <c r="BS476" s="118"/>
      <c r="BT476" s="118"/>
      <c r="BU476" s="118"/>
    </row>
    <row r="477" spans="15:73"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  <c r="BB477" s="118"/>
      <c r="BC477" s="118"/>
      <c r="BD477" s="118"/>
      <c r="BE477" s="118"/>
      <c r="BF477" s="118"/>
      <c r="BG477" s="118"/>
      <c r="BH477" s="118"/>
      <c r="BI477" s="118"/>
      <c r="BJ477" s="118"/>
      <c r="BK477" s="118"/>
      <c r="BL477" s="118"/>
      <c r="BM477" s="118"/>
      <c r="BN477" s="118"/>
      <c r="BO477" s="118"/>
      <c r="BP477" s="118"/>
      <c r="BQ477" s="118"/>
      <c r="BR477" s="118"/>
      <c r="BS477" s="118"/>
      <c r="BT477" s="118"/>
      <c r="BU477" s="118"/>
    </row>
    <row r="478" spans="15:73"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  <c r="BB478" s="118"/>
      <c r="BC478" s="118"/>
      <c r="BD478" s="118"/>
      <c r="BE478" s="118"/>
      <c r="BF478" s="118"/>
      <c r="BG478" s="118"/>
      <c r="BH478" s="118"/>
      <c r="BI478" s="118"/>
      <c r="BJ478" s="118"/>
      <c r="BK478" s="118"/>
      <c r="BL478" s="118"/>
      <c r="BM478" s="118"/>
      <c r="BN478" s="118"/>
      <c r="BO478" s="118"/>
      <c r="BP478" s="118"/>
      <c r="BQ478" s="118"/>
      <c r="BR478" s="118"/>
      <c r="BS478" s="118"/>
      <c r="BT478" s="118"/>
      <c r="BU478" s="118"/>
    </row>
    <row r="479" spans="15:73"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  <c r="BB479" s="118"/>
      <c r="BC479" s="118"/>
      <c r="BD479" s="118"/>
      <c r="BE479" s="118"/>
      <c r="BF479" s="118"/>
      <c r="BG479" s="118"/>
      <c r="BH479" s="118"/>
      <c r="BI479" s="118"/>
      <c r="BJ479" s="118"/>
      <c r="BK479" s="118"/>
      <c r="BL479" s="118"/>
      <c r="BM479" s="118"/>
      <c r="BN479" s="118"/>
      <c r="BO479" s="118"/>
      <c r="BP479" s="118"/>
      <c r="BQ479" s="118"/>
      <c r="BR479" s="118"/>
      <c r="BS479" s="118"/>
      <c r="BT479" s="118"/>
      <c r="BU479" s="118"/>
    </row>
    <row r="480" spans="15:73"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  <c r="BB480" s="118"/>
      <c r="BC480" s="118"/>
      <c r="BD480" s="118"/>
      <c r="BE480" s="118"/>
      <c r="BF480" s="118"/>
      <c r="BG480" s="118"/>
      <c r="BH480" s="118"/>
      <c r="BI480" s="118"/>
      <c r="BJ480" s="118"/>
      <c r="BK480" s="118"/>
      <c r="BL480" s="118"/>
      <c r="BM480" s="118"/>
      <c r="BN480" s="118"/>
      <c r="BO480" s="118"/>
      <c r="BP480" s="118"/>
      <c r="BQ480" s="118"/>
      <c r="BR480" s="118"/>
      <c r="BS480" s="118"/>
      <c r="BT480" s="118"/>
      <c r="BU480" s="118"/>
    </row>
    <row r="481" spans="15:73"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  <c r="BB481" s="118"/>
      <c r="BC481" s="118"/>
      <c r="BD481" s="118"/>
      <c r="BE481" s="118"/>
      <c r="BF481" s="118"/>
      <c r="BG481" s="118"/>
      <c r="BH481" s="118"/>
      <c r="BI481" s="118"/>
      <c r="BJ481" s="118"/>
      <c r="BK481" s="118"/>
      <c r="BL481" s="118"/>
      <c r="BM481" s="118"/>
      <c r="BN481" s="118"/>
      <c r="BO481" s="118"/>
      <c r="BP481" s="118"/>
      <c r="BQ481" s="118"/>
      <c r="BR481" s="118"/>
      <c r="BS481" s="118"/>
      <c r="BT481" s="118"/>
      <c r="BU481" s="118"/>
    </row>
    <row r="482" spans="15:73"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  <c r="BB482" s="118"/>
      <c r="BC482" s="118"/>
      <c r="BD482" s="118"/>
      <c r="BE482" s="118"/>
      <c r="BF482" s="118"/>
      <c r="BG482" s="118"/>
      <c r="BH482" s="118"/>
      <c r="BI482" s="118"/>
      <c r="BJ482" s="118"/>
      <c r="BK482" s="118"/>
      <c r="BL482" s="118"/>
      <c r="BM482" s="118"/>
      <c r="BN482" s="118"/>
      <c r="BO482" s="118"/>
      <c r="BP482" s="118"/>
      <c r="BQ482" s="118"/>
      <c r="BR482" s="118"/>
      <c r="BS482" s="118"/>
      <c r="BT482" s="118"/>
      <c r="BU482" s="118"/>
    </row>
    <row r="483" spans="15:73"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  <c r="BB483" s="118"/>
      <c r="BC483" s="118"/>
      <c r="BD483" s="118"/>
      <c r="BE483" s="118"/>
      <c r="BF483" s="118"/>
      <c r="BG483" s="118"/>
      <c r="BH483" s="118"/>
      <c r="BI483" s="118"/>
      <c r="BJ483" s="118"/>
      <c r="BK483" s="118"/>
      <c r="BL483" s="118"/>
      <c r="BM483" s="118"/>
      <c r="BN483" s="118"/>
      <c r="BO483" s="118"/>
      <c r="BP483" s="118"/>
      <c r="BQ483" s="118"/>
      <c r="BR483" s="118"/>
      <c r="BS483" s="118"/>
      <c r="BT483" s="118"/>
      <c r="BU483" s="118"/>
    </row>
    <row r="484" spans="15:73"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  <c r="BB484" s="118"/>
      <c r="BC484" s="118"/>
      <c r="BD484" s="118"/>
      <c r="BE484" s="118"/>
      <c r="BF484" s="118"/>
      <c r="BG484" s="118"/>
      <c r="BH484" s="118"/>
      <c r="BI484" s="118"/>
      <c r="BJ484" s="118"/>
      <c r="BK484" s="118"/>
      <c r="BL484" s="118"/>
      <c r="BM484" s="118"/>
      <c r="BN484" s="118"/>
      <c r="BO484" s="118"/>
      <c r="BP484" s="118"/>
      <c r="BQ484" s="118"/>
      <c r="BR484" s="118"/>
      <c r="BS484" s="118"/>
      <c r="BT484" s="118"/>
      <c r="BU484" s="118"/>
    </row>
    <row r="485" spans="15:73"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  <c r="BB485" s="118"/>
      <c r="BC485" s="118"/>
      <c r="BD485" s="118"/>
      <c r="BE485" s="118"/>
      <c r="BF485" s="118"/>
      <c r="BG485" s="118"/>
      <c r="BH485" s="118"/>
      <c r="BI485" s="118"/>
      <c r="BJ485" s="118"/>
      <c r="BK485" s="118"/>
      <c r="BL485" s="118"/>
      <c r="BM485" s="118"/>
      <c r="BN485" s="118"/>
      <c r="BO485" s="118"/>
      <c r="BP485" s="118"/>
      <c r="BQ485" s="118"/>
      <c r="BR485" s="118"/>
      <c r="BS485" s="118"/>
      <c r="BT485" s="118"/>
      <c r="BU485" s="118"/>
    </row>
    <row r="486" spans="15:73"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  <c r="BB486" s="118"/>
      <c r="BC486" s="118"/>
      <c r="BD486" s="118"/>
      <c r="BE486" s="118"/>
      <c r="BF486" s="118"/>
      <c r="BG486" s="118"/>
      <c r="BH486" s="118"/>
      <c r="BI486" s="118"/>
      <c r="BJ486" s="118"/>
      <c r="BK486" s="118"/>
      <c r="BL486" s="118"/>
      <c r="BM486" s="118"/>
      <c r="BN486" s="118"/>
      <c r="BO486" s="118"/>
      <c r="BP486" s="118"/>
      <c r="BQ486" s="118"/>
      <c r="BR486" s="118"/>
      <c r="BS486" s="118"/>
      <c r="BT486" s="118"/>
      <c r="BU486" s="118"/>
    </row>
    <row r="487" spans="15:73"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  <c r="BB487" s="118"/>
      <c r="BC487" s="118"/>
      <c r="BD487" s="118"/>
      <c r="BE487" s="118"/>
      <c r="BF487" s="118"/>
      <c r="BG487" s="118"/>
      <c r="BH487" s="118"/>
      <c r="BI487" s="118"/>
      <c r="BJ487" s="118"/>
      <c r="BK487" s="118"/>
      <c r="BL487" s="118"/>
      <c r="BM487" s="118"/>
      <c r="BN487" s="118"/>
      <c r="BO487" s="118"/>
      <c r="BP487" s="118"/>
      <c r="BQ487" s="118"/>
      <c r="BR487" s="118"/>
      <c r="BS487" s="118"/>
      <c r="BT487" s="118"/>
      <c r="BU487" s="118"/>
    </row>
    <row r="488" spans="15:73"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  <c r="BB488" s="118"/>
      <c r="BC488" s="118"/>
      <c r="BD488" s="118"/>
      <c r="BE488" s="118"/>
      <c r="BF488" s="118"/>
      <c r="BG488" s="118"/>
      <c r="BH488" s="118"/>
      <c r="BI488" s="118"/>
      <c r="BJ488" s="118"/>
      <c r="BK488" s="118"/>
      <c r="BL488" s="118"/>
      <c r="BM488" s="118"/>
      <c r="BN488" s="118"/>
      <c r="BO488" s="118"/>
      <c r="BP488" s="118"/>
      <c r="BQ488" s="118"/>
      <c r="BR488" s="118"/>
      <c r="BS488" s="118"/>
      <c r="BT488" s="118"/>
      <c r="BU488" s="118"/>
    </row>
    <row r="489" spans="15:73"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  <c r="BB489" s="118"/>
      <c r="BC489" s="118"/>
      <c r="BD489" s="118"/>
      <c r="BE489" s="118"/>
      <c r="BF489" s="118"/>
      <c r="BG489" s="118"/>
      <c r="BH489" s="118"/>
      <c r="BI489" s="118"/>
      <c r="BJ489" s="118"/>
      <c r="BK489" s="118"/>
      <c r="BL489" s="118"/>
      <c r="BM489" s="118"/>
      <c r="BN489" s="118"/>
      <c r="BO489" s="118"/>
      <c r="BP489" s="118"/>
      <c r="BQ489" s="118"/>
      <c r="BR489" s="118"/>
      <c r="BS489" s="118"/>
      <c r="BT489" s="118"/>
      <c r="BU489" s="118"/>
    </row>
    <row r="490" spans="15:73"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  <c r="BB490" s="118"/>
      <c r="BC490" s="118"/>
      <c r="BD490" s="118"/>
      <c r="BE490" s="118"/>
      <c r="BF490" s="118"/>
      <c r="BG490" s="118"/>
      <c r="BH490" s="118"/>
      <c r="BI490" s="118"/>
      <c r="BJ490" s="118"/>
      <c r="BK490" s="118"/>
      <c r="BL490" s="118"/>
      <c r="BM490" s="118"/>
      <c r="BN490" s="118"/>
      <c r="BO490" s="118"/>
      <c r="BP490" s="118"/>
      <c r="BQ490" s="118"/>
      <c r="BR490" s="118"/>
      <c r="BS490" s="118"/>
      <c r="BT490" s="118"/>
      <c r="BU490" s="118"/>
    </row>
    <row r="491" spans="15:73"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  <c r="BB491" s="118"/>
      <c r="BC491" s="118"/>
      <c r="BD491" s="118"/>
      <c r="BE491" s="118"/>
      <c r="BF491" s="118"/>
      <c r="BG491" s="118"/>
      <c r="BH491" s="118"/>
      <c r="BI491" s="118"/>
      <c r="BJ491" s="118"/>
      <c r="BK491" s="118"/>
      <c r="BL491" s="118"/>
      <c r="BM491" s="118"/>
      <c r="BN491" s="118"/>
      <c r="BO491" s="118"/>
      <c r="BP491" s="118"/>
      <c r="BQ491" s="118"/>
      <c r="BR491" s="118"/>
      <c r="BS491" s="118"/>
      <c r="BT491" s="118"/>
      <c r="BU491" s="118"/>
    </row>
    <row r="492" spans="15:73"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  <c r="BB492" s="118"/>
      <c r="BC492" s="118"/>
      <c r="BD492" s="118"/>
      <c r="BE492" s="118"/>
      <c r="BF492" s="118"/>
      <c r="BG492" s="118"/>
      <c r="BH492" s="118"/>
      <c r="BI492" s="118"/>
      <c r="BJ492" s="118"/>
      <c r="BK492" s="118"/>
      <c r="BL492" s="118"/>
      <c r="BM492" s="118"/>
      <c r="BN492" s="118"/>
      <c r="BO492" s="118"/>
      <c r="BP492" s="118"/>
      <c r="BQ492" s="118"/>
      <c r="BR492" s="118"/>
      <c r="BS492" s="118"/>
      <c r="BT492" s="118"/>
      <c r="BU492" s="118"/>
    </row>
    <row r="493" spans="15:73"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  <c r="BB493" s="118"/>
      <c r="BC493" s="118"/>
      <c r="BD493" s="118"/>
      <c r="BE493" s="118"/>
      <c r="BF493" s="118"/>
      <c r="BG493" s="118"/>
      <c r="BH493" s="118"/>
      <c r="BI493" s="118"/>
      <c r="BJ493" s="118"/>
      <c r="BK493" s="118"/>
      <c r="BL493" s="118"/>
      <c r="BM493" s="118"/>
      <c r="BN493" s="118"/>
      <c r="BO493" s="118"/>
      <c r="BP493" s="118"/>
      <c r="BQ493" s="118"/>
      <c r="BR493" s="118"/>
      <c r="BS493" s="118"/>
      <c r="BT493" s="118"/>
      <c r="BU493" s="118"/>
    </row>
    <row r="494" spans="15:73"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  <c r="BB494" s="118"/>
      <c r="BC494" s="118"/>
      <c r="BD494" s="118"/>
      <c r="BE494" s="118"/>
      <c r="BF494" s="118"/>
      <c r="BG494" s="118"/>
      <c r="BH494" s="118"/>
      <c r="BI494" s="118"/>
      <c r="BJ494" s="118"/>
      <c r="BK494" s="118"/>
      <c r="BL494" s="118"/>
      <c r="BM494" s="118"/>
      <c r="BN494" s="118"/>
      <c r="BO494" s="118"/>
      <c r="BP494" s="118"/>
      <c r="BQ494" s="118"/>
      <c r="BR494" s="118"/>
      <c r="BS494" s="118"/>
      <c r="BT494" s="118"/>
      <c r="BU494" s="118"/>
    </row>
    <row r="495" spans="15:73"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  <c r="BB495" s="118"/>
      <c r="BC495" s="118"/>
      <c r="BD495" s="118"/>
      <c r="BE495" s="118"/>
      <c r="BF495" s="118"/>
      <c r="BG495" s="118"/>
      <c r="BH495" s="118"/>
      <c r="BI495" s="118"/>
      <c r="BJ495" s="118"/>
      <c r="BK495" s="118"/>
      <c r="BL495" s="118"/>
      <c r="BM495" s="118"/>
      <c r="BN495" s="118"/>
      <c r="BO495" s="118"/>
      <c r="BP495" s="118"/>
      <c r="BQ495" s="118"/>
      <c r="BR495" s="118"/>
      <c r="BS495" s="118"/>
      <c r="BT495" s="118"/>
      <c r="BU495" s="118"/>
    </row>
    <row r="496" spans="15:73"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  <c r="BB496" s="118"/>
      <c r="BC496" s="118"/>
      <c r="BD496" s="118"/>
      <c r="BE496" s="118"/>
      <c r="BF496" s="118"/>
      <c r="BG496" s="118"/>
      <c r="BH496" s="118"/>
      <c r="BI496" s="118"/>
      <c r="BJ496" s="118"/>
      <c r="BK496" s="118"/>
      <c r="BL496" s="118"/>
      <c r="BM496" s="118"/>
      <c r="BN496" s="118"/>
      <c r="BO496" s="118"/>
      <c r="BP496" s="118"/>
      <c r="BQ496" s="118"/>
      <c r="BR496" s="118"/>
      <c r="BS496" s="118"/>
      <c r="BT496" s="118"/>
      <c r="BU496" s="118"/>
    </row>
    <row r="497" spans="15:73"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  <c r="BB497" s="118"/>
      <c r="BC497" s="118"/>
      <c r="BD497" s="118"/>
      <c r="BE497" s="118"/>
      <c r="BF497" s="118"/>
      <c r="BG497" s="118"/>
      <c r="BH497" s="118"/>
      <c r="BI497" s="118"/>
      <c r="BJ497" s="118"/>
      <c r="BK497" s="118"/>
      <c r="BL497" s="118"/>
      <c r="BM497" s="118"/>
      <c r="BN497" s="118"/>
      <c r="BO497" s="118"/>
      <c r="BP497" s="118"/>
      <c r="BQ497" s="118"/>
      <c r="BR497" s="118"/>
      <c r="BS497" s="118"/>
      <c r="BT497" s="118"/>
      <c r="BU497" s="118"/>
    </row>
    <row r="498" spans="15:73"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  <c r="BB498" s="118"/>
      <c r="BC498" s="118"/>
      <c r="BD498" s="118"/>
      <c r="BE498" s="118"/>
      <c r="BF498" s="118"/>
      <c r="BG498" s="118"/>
      <c r="BH498" s="118"/>
      <c r="BI498" s="118"/>
      <c r="BJ498" s="118"/>
      <c r="BK498" s="118"/>
      <c r="BL498" s="118"/>
      <c r="BM498" s="118"/>
      <c r="BN498" s="118"/>
      <c r="BO498" s="118"/>
      <c r="BP498" s="118"/>
      <c r="BQ498" s="118"/>
      <c r="BR498" s="118"/>
      <c r="BS498" s="118"/>
      <c r="BT498" s="118"/>
      <c r="BU498" s="118"/>
    </row>
    <row r="499" spans="15:73"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  <c r="BB499" s="118"/>
      <c r="BC499" s="118"/>
      <c r="BD499" s="118"/>
      <c r="BE499" s="118"/>
      <c r="BF499" s="118"/>
      <c r="BG499" s="118"/>
      <c r="BH499" s="118"/>
      <c r="BI499" s="118"/>
      <c r="BJ499" s="118"/>
      <c r="BK499" s="118"/>
      <c r="BL499" s="118"/>
      <c r="BM499" s="118"/>
      <c r="BN499" s="118"/>
      <c r="BO499" s="118"/>
      <c r="BP499" s="118"/>
      <c r="BQ499" s="118"/>
      <c r="BR499" s="118"/>
      <c r="BS499" s="118"/>
      <c r="BT499" s="118"/>
      <c r="BU499" s="118"/>
    </row>
    <row r="500" spans="15:73"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  <c r="BB500" s="118"/>
      <c r="BC500" s="118"/>
      <c r="BD500" s="118"/>
      <c r="BE500" s="118"/>
      <c r="BF500" s="118"/>
      <c r="BG500" s="118"/>
      <c r="BH500" s="118"/>
      <c r="BI500" s="118"/>
      <c r="BJ500" s="118"/>
      <c r="BK500" s="118"/>
      <c r="BL500" s="118"/>
      <c r="BM500" s="118"/>
      <c r="BN500" s="118"/>
      <c r="BO500" s="118"/>
      <c r="BP500" s="118"/>
      <c r="BQ500" s="118"/>
      <c r="BR500" s="118"/>
      <c r="BS500" s="118"/>
      <c r="BT500" s="118"/>
      <c r="BU500" s="118"/>
    </row>
    <row r="501" spans="15:73"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  <c r="BB501" s="118"/>
      <c r="BC501" s="118"/>
      <c r="BD501" s="118"/>
      <c r="BE501" s="118"/>
      <c r="BF501" s="118"/>
      <c r="BG501" s="118"/>
      <c r="BH501" s="118"/>
      <c r="BI501" s="118"/>
      <c r="BJ501" s="118"/>
      <c r="BK501" s="118"/>
      <c r="BL501" s="118"/>
      <c r="BM501" s="118"/>
      <c r="BN501" s="118"/>
      <c r="BO501" s="118"/>
      <c r="BP501" s="118"/>
      <c r="BQ501" s="118"/>
      <c r="BR501" s="118"/>
      <c r="BS501" s="118"/>
      <c r="BT501" s="118"/>
      <c r="BU501" s="118"/>
    </row>
    <row r="502" spans="15:73"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  <c r="BB502" s="118"/>
      <c r="BC502" s="118"/>
      <c r="BD502" s="118"/>
      <c r="BE502" s="118"/>
      <c r="BF502" s="118"/>
      <c r="BG502" s="118"/>
      <c r="BH502" s="118"/>
      <c r="BI502" s="118"/>
      <c r="BJ502" s="118"/>
      <c r="BK502" s="118"/>
      <c r="BL502" s="118"/>
      <c r="BM502" s="118"/>
      <c r="BN502" s="118"/>
      <c r="BO502" s="118"/>
      <c r="BP502" s="118"/>
      <c r="BQ502" s="118"/>
      <c r="BR502" s="118"/>
      <c r="BS502" s="118"/>
      <c r="BT502" s="118"/>
      <c r="BU502" s="118"/>
    </row>
    <row r="503" spans="15:73"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  <c r="BB503" s="118"/>
      <c r="BC503" s="118"/>
      <c r="BD503" s="118"/>
      <c r="BE503" s="118"/>
      <c r="BF503" s="118"/>
      <c r="BG503" s="118"/>
      <c r="BH503" s="118"/>
      <c r="BI503" s="118"/>
      <c r="BJ503" s="118"/>
      <c r="BK503" s="118"/>
      <c r="BL503" s="118"/>
      <c r="BM503" s="118"/>
      <c r="BN503" s="118"/>
      <c r="BO503" s="118"/>
      <c r="BP503" s="118"/>
      <c r="BQ503" s="118"/>
      <c r="BR503" s="118"/>
      <c r="BS503" s="118"/>
      <c r="BT503" s="118"/>
      <c r="BU503" s="118"/>
    </row>
    <row r="504" spans="15:73"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  <c r="BB504" s="118"/>
      <c r="BC504" s="118"/>
      <c r="BD504" s="118"/>
      <c r="BE504" s="118"/>
      <c r="BF504" s="118"/>
      <c r="BG504" s="118"/>
      <c r="BH504" s="118"/>
      <c r="BI504" s="118"/>
      <c r="BJ504" s="118"/>
      <c r="BK504" s="118"/>
      <c r="BL504" s="118"/>
      <c r="BM504" s="118"/>
      <c r="BN504" s="118"/>
      <c r="BO504" s="118"/>
      <c r="BP504" s="118"/>
      <c r="BQ504" s="118"/>
      <c r="BR504" s="118"/>
      <c r="BS504" s="118"/>
      <c r="BT504" s="118"/>
      <c r="BU504" s="118"/>
    </row>
    <row r="505" spans="15:73"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  <c r="BB505" s="118"/>
      <c r="BC505" s="118"/>
      <c r="BD505" s="118"/>
      <c r="BE505" s="118"/>
      <c r="BF505" s="118"/>
      <c r="BG505" s="118"/>
      <c r="BH505" s="118"/>
      <c r="BI505" s="118"/>
      <c r="BJ505" s="118"/>
      <c r="BK505" s="118"/>
      <c r="BL505" s="118"/>
      <c r="BM505" s="118"/>
      <c r="BN505" s="118"/>
      <c r="BO505" s="118"/>
      <c r="BP505" s="118"/>
      <c r="BQ505" s="118"/>
      <c r="BR505" s="118"/>
      <c r="BS505" s="118"/>
      <c r="BT505" s="118"/>
      <c r="BU505" s="118"/>
    </row>
    <row r="506" spans="15:73"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  <c r="BB506" s="118"/>
      <c r="BC506" s="118"/>
      <c r="BD506" s="118"/>
      <c r="BE506" s="118"/>
      <c r="BF506" s="118"/>
      <c r="BG506" s="118"/>
      <c r="BH506" s="118"/>
      <c r="BI506" s="118"/>
      <c r="BJ506" s="118"/>
      <c r="BK506" s="118"/>
      <c r="BL506" s="118"/>
      <c r="BM506" s="118"/>
      <c r="BN506" s="118"/>
      <c r="BO506" s="118"/>
      <c r="BP506" s="118"/>
      <c r="BQ506" s="118"/>
      <c r="BR506" s="118"/>
      <c r="BS506" s="118"/>
      <c r="BT506" s="118"/>
      <c r="BU506" s="118"/>
    </row>
    <row r="507" spans="15:73"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  <c r="BB507" s="118"/>
      <c r="BC507" s="118"/>
      <c r="BD507" s="118"/>
      <c r="BE507" s="118"/>
      <c r="BF507" s="118"/>
      <c r="BG507" s="118"/>
      <c r="BH507" s="118"/>
      <c r="BI507" s="118"/>
      <c r="BJ507" s="118"/>
      <c r="BK507" s="118"/>
      <c r="BL507" s="118"/>
      <c r="BM507" s="118"/>
      <c r="BN507" s="118"/>
      <c r="BO507" s="118"/>
      <c r="BP507" s="118"/>
      <c r="BQ507" s="118"/>
      <c r="BR507" s="118"/>
      <c r="BS507" s="118"/>
      <c r="BT507" s="118"/>
      <c r="BU507" s="118"/>
    </row>
    <row r="508" spans="15:73"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  <c r="BB508" s="118"/>
      <c r="BC508" s="118"/>
      <c r="BD508" s="118"/>
      <c r="BE508" s="118"/>
      <c r="BF508" s="118"/>
      <c r="BG508" s="118"/>
      <c r="BH508" s="118"/>
      <c r="BI508" s="118"/>
      <c r="BJ508" s="118"/>
      <c r="BK508" s="118"/>
      <c r="BL508" s="118"/>
      <c r="BM508" s="118"/>
      <c r="BN508" s="118"/>
      <c r="BO508" s="118"/>
      <c r="BP508" s="118"/>
      <c r="BQ508" s="118"/>
      <c r="BR508" s="118"/>
      <c r="BS508" s="118"/>
      <c r="BT508" s="118"/>
      <c r="BU508" s="118"/>
    </row>
    <row r="509" spans="15:73"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  <c r="BB509" s="118"/>
      <c r="BC509" s="118"/>
      <c r="BD509" s="118"/>
      <c r="BE509" s="118"/>
      <c r="BF509" s="118"/>
      <c r="BG509" s="118"/>
      <c r="BH509" s="118"/>
      <c r="BI509" s="118"/>
      <c r="BJ509" s="118"/>
      <c r="BK509" s="118"/>
      <c r="BL509" s="118"/>
      <c r="BM509" s="118"/>
      <c r="BN509" s="118"/>
      <c r="BO509" s="118"/>
      <c r="BP509" s="118"/>
      <c r="BQ509" s="118"/>
      <c r="BR509" s="118"/>
      <c r="BS509" s="118"/>
      <c r="BT509" s="118"/>
      <c r="BU509" s="118"/>
    </row>
    <row r="510" spans="15:73"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  <c r="BB510" s="118"/>
      <c r="BC510" s="118"/>
      <c r="BD510" s="118"/>
      <c r="BE510" s="118"/>
      <c r="BF510" s="118"/>
      <c r="BG510" s="118"/>
      <c r="BH510" s="118"/>
      <c r="BI510" s="118"/>
      <c r="BJ510" s="118"/>
      <c r="BK510" s="118"/>
      <c r="BL510" s="118"/>
      <c r="BM510" s="118"/>
      <c r="BN510" s="118"/>
      <c r="BO510" s="118"/>
      <c r="BP510" s="118"/>
      <c r="BQ510" s="118"/>
      <c r="BR510" s="118"/>
      <c r="BS510" s="118"/>
      <c r="BT510" s="118"/>
      <c r="BU510" s="118"/>
    </row>
    <row r="511" spans="15:73"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  <c r="BB511" s="118"/>
      <c r="BC511" s="118"/>
      <c r="BD511" s="118"/>
      <c r="BE511" s="118"/>
      <c r="BF511" s="118"/>
      <c r="BG511" s="118"/>
      <c r="BH511" s="118"/>
      <c r="BI511" s="118"/>
      <c r="BJ511" s="118"/>
      <c r="BK511" s="118"/>
      <c r="BL511" s="118"/>
      <c r="BM511" s="118"/>
      <c r="BN511" s="118"/>
      <c r="BO511" s="118"/>
      <c r="BP511" s="118"/>
      <c r="BQ511" s="118"/>
      <c r="BR511" s="118"/>
      <c r="BS511" s="118"/>
      <c r="BT511" s="118"/>
      <c r="BU511" s="118"/>
    </row>
    <row r="512" spans="15:73"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  <c r="BB512" s="118"/>
      <c r="BC512" s="118"/>
      <c r="BD512" s="118"/>
      <c r="BE512" s="118"/>
      <c r="BF512" s="118"/>
      <c r="BG512" s="118"/>
      <c r="BH512" s="118"/>
      <c r="BI512" s="118"/>
      <c r="BJ512" s="118"/>
      <c r="BK512" s="118"/>
      <c r="BL512" s="118"/>
      <c r="BM512" s="118"/>
      <c r="BN512" s="118"/>
      <c r="BO512" s="118"/>
      <c r="BP512" s="118"/>
      <c r="BQ512" s="118"/>
      <c r="BR512" s="118"/>
      <c r="BS512" s="118"/>
      <c r="BT512" s="118"/>
      <c r="BU512" s="118"/>
    </row>
    <row r="513" spans="15:73"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  <c r="BB513" s="118"/>
      <c r="BC513" s="118"/>
      <c r="BD513" s="118"/>
      <c r="BE513" s="118"/>
      <c r="BF513" s="118"/>
      <c r="BG513" s="118"/>
      <c r="BH513" s="118"/>
      <c r="BI513" s="118"/>
      <c r="BJ513" s="118"/>
      <c r="BK513" s="118"/>
      <c r="BL513" s="118"/>
      <c r="BM513" s="118"/>
      <c r="BN513" s="118"/>
      <c r="BO513" s="118"/>
      <c r="BP513" s="118"/>
      <c r="BQ513" s="118"/>
      <c r="BR513" s="118"/>
      <c r="BS513" s="118"/>
      <c r="BT513" s="118"/>
      <c r="BU513" s="118"/>
    </row>
    <row r="514" spans="15:73"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  <c r="BB514" s="118"/>
      <c r="BC514" s="118"/>
      <c r="BD514" s="118"/>
      <c r="BE514" s="118"/>
      <c r="BF514" s="118"/>
      <c r="BG514" s="118"/>
      <c r="BH514" s="118"/>
      <c r="BI514" s="118"/>
      <c r="BJ514" s="118"/>
      <c r="BK514" s="118"/>
      <c r="BL514" s="118"/>
      <c r="BM514" s="118"/>
      <c r="BN514" s="118"/>
      <c r="BO514" s="118"/>
      <c r="BP514" s="118"/>
      <c r="BQ514" s="118"/>
      <c r="BR514" s="118"/>
      <c r="BS514" s="118"/>
      <c r="BT514" s="118"/>
      <c r="BU514" s="118"/>
    </row>
    <row r="515" spans="15:73"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  <c r="BB515" s="118"/>
      <c r="BC515" s="118"/>
      <c r="BD515" s="118"/>
      <c r="BE515" s="118"/>
      <c r="BF515" s="118"/>
      <c r="BG515" s="118"/>
      <c r="BH515" s="118"/>
      <c r="BI515" s="118"/>
      <c r="BJ515" s="118"/>
      <c r="BK515" s="118"/>
      <c r="BL515" s="118"/>
      <c r="BM515" s="118"/>
      <c r="BN515" s="118"/>
      <c r="BO515" s="118"/>
      <c r="BP515" s="118"/>
      <c r="BQ515" s="118"/>
      <c r="BR515" s="118"/>
      <c r="BS515" s="118"/>
      <c r="BT515" s="118"/>
      <c r="BU515" s="118"/>
    </row>
    <row r="516" spans="15:73"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  <c r="BB516" s="118"/>
      <c r="BC516" s="118"/>
      <c r="BD516" s="118"/>
      <c r="BE516" s="118"/>
      <c r="BF516" s="118"/>
      <c r="BG516" s="118"/>
      <c r="BH516" s="118"/>
      <c r="BI516" s="118"/>
      <c r="BJ516" s="118"/>
      <c r="BK516" s="118"/>
      <c r="BL516" s="118"/>
      <c r="BM516" s="118"/>
      <c r="BN516" s="118"/>
      <c r="BO516" s="118"/>
      <c r="BP516" s="118"/>
      <c r="BQ516" s="118"/>
      <c r="BR516" s="118"/>
      <c r="BS516" s="118"/>
      <c r="BT516" s="118"/>
      <c r="BU516" s="118"/>
    </row>
    <row r="517" spans="15:73"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  <c r="BB517" s="118"/>
      <c r="BC517" s="118"/>
      <c r="BD517" s="118"/>
      <c r="BE517" s="118"/>
      <c r="BF517" s="118"/>
      <c r="BG517" s="118"/>
      <c r="BH517" s="118"/>
      <c r="BI517" s="118"/>
      <c r="BJ517" s="118"/>
      <c r="BK517" s="118"/>
      <c r="BL517" s="118"/>
      <c r="BM517" s="118"/>
      <c r="BN517" s="118"/>
      <c r="BO517" s="118"/>
      <c r="BP517" s="118"/>
      <c r="BQ517" s="118"/>
      <c r="BR517" s="118"/>
      <c r="BS517" s="118"/>
      <c r="BT517" s="118"/>
      <c r="BU517" s="118"/>
    </row>
    <row r="518" spans="15:73"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  <c r="BB518" s="118"/>
      <c r="BC518" s="118"/>
      <c r="BD518" s="118"/>
      <c r="BE518" s="118"/>
      <c r="BF518" s="118"/>
      <c r="BG518" s="118"/>
      <c r="BH518" s="118"/>
      <c r="BI518" s="118"/>
      <c r="BJ518" s="118"/>
      <c r="BK518" s="118"/>
      <c r="BL518" s="118"/>
      <c r="BM518" s="118"/>
      <c r="BN518" s="118"/>
      <c r="BO518" s="118"/>
      <c r="BP518" s="118"/>
      <c r="BQ518" s="118"/>
      <c r="BR518" s="118"/>
      <c r="BS518" s="118"/>
      <c r="BT518" s="118"/>
      <c r="BU518" s="118"/>
    </row>
    <row r="519" spans="15:73"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  <c r="BB519" s="118"/>
      <c r="BC519" s="118"/>
      <c r="BD519" s="118"/>
      <c r="BE519" s="118"/>
      <c r="BF519" s="118"/>
      <c r="BG519" s="118"/>
      <c r="BH519" s="118"/>
      <c r="BI519" s="118"/>
      <c r="BJ519" s="118"/>
      <c r="BK519" s="118"/>
      <c r="BL519" s="118"/>
      <c r="BM519" s="118"/>
      <c r="BN519" s="118"/>
      <c r="BO519" s="118"/>
      <c r="BP519" s="118"/>
      <c r="BQ519" s="118"/>
      <c r="BR519" s="118"/>
      <c r="BS519" s="118"/>
      <c r="BT519" s="118"/>
      <c r="BU519" s="118"/>
    </row>
    <row r="520" spans="15:73"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  <c r="BB520" s="118"/>
      <c r="BC520" s="118"/>
      <c r="BD520" s="118"/>
      <c r="BE520" s="118"/>
      <c r="BF520" s="118"/>
      <c r="BG520" s="118"/>
      <c r="BH520" s="118"/>
      <c r="BI520" s="118"/>
      <c r="BJ520" s="118"/>
      <c r="BK520" s="118"/>
      <c r="BL520" s="118"/>
      <c r="BM520" s="118"/>
      <c r="BN520" s="118"/>
      <c r="BO520" s="118"/>
      <c r="BP520" s="118"/>
      <c r="BQ520" s="118"/>
      <c r="BR520" s="118"/>
      <c r="BS520" s="118"/>
      <c r="BT520" s="118"/>
      <c r="BU520" s="118"/>
    </row>
    <row r="521" spans="15:73"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  <c r="BB521" s="118"/>
      <c r="BC521" s="118"/>
      <c r="BD521" s="118"/>
      <c r="BE521" s="118"/>
      <c r="BF521" s="118"/>
      <c r="BG521" s="118"/>
      <c r="BH521" s="118"/>
      <c r="BI521" s="118"/>
      <c r="BJ521" s="118"/>
      <c r="BK521" s="118"/>
      <c r="BL521" s="118"/>
      <c r="BM521" s="118"/>
      <c r="BN521" s="118"/>
      <c r="BO521" s="118"/>
      <c r="BP521" s="118"/>
      <c r="BQ521" s="118"/>
      <c r="BR521" s="118"/>
      <c r="BS521" s="118"/>
      <c r="BT521" s="118"/>
      <c r="BU521" s="118"/>
    </row>
    <row r="522" spans="15:73"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  <c r="BB522" s="118"/>
      <c r="BC522" s="118"/>
      <c r="BD522" s="118"/>
      <c r="BE522" s="118"/>
      <c r="BF522" s="118"/>
      <c r="BG522" s="118"/>
      <c r="BH522" s="118"/>
      <c r="BI522" s="118"/>
      <c r="BJ522" s="118"/>
      <c r="BK522" s="118"/>
      <c r="BL522" s="118"/>
      <c r="BM522" s="118"/>
      <c r="BN522" s="118"/>
      <c r="BO522" s="118"/>
      <c r="BP522" s="118"/>
      <c r="BQ522" s="118"/>
      <c r="BR522" s="118"/>
      <c r="BS522" s="118"/>
      <c r="BT522" s="118"/>
      <c r="BU522" s="118"/>
    </row>
    <row r="523" spans="15:73"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  <c r="BB523" s="118"/>
      <c r="BC523" s="118"/>
      <c r="BD523" s="118"/>
      <c r="BE523" s="118"/>
      <c r="BF523" s="118"/>
      <c r="BG523" s="118"/>
      <c r="BH523" s="118"/>
      <c r="BI523" s="118"/>
      <c r="BJ523" s="118"/>
      <c r="BK523" s="118"/>
      <c r="BL523" s="118"/>
      <c r="BM523" s="118"/>
      <c r="BN523" s="118"/>
      <c r="BO523" s="118"/>
      <c r="BP523" s="118"/>
      <c r="BQ523" s="118"/>
      <c r="BR523" s="118"/>
      <c r="BS523" s="118"/>
      <c r="BT523" s="118"/>
      <c r="BU523" s="118"/>
    </row>
    <row r="524" spans="15:73"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  <c r="BB524" s="118"/>
      <c r="BC524" s="118"/>
      <c r="BD524" s="118"/>
      <c r="BE524" s="118"/>
      <c r="BF524" s="118"/>
      <c r="BG524" s="118"/>
      <c r="BH524" s="118"/>
      <c r="BI524" s="118"/>
      <c r="BJ524" s="118"/>
      <c r="BK524" s="118"/>
      <c r="BL524" s="118"/>
      <c r="BM524" s="118"/>
      <c r="BN524" s="118"/>
      <c r="BO524" s="118"/>
      <c r="BP524" s="118"/>
      <c r="BQ524" s="118"/>
      <c r="BR524" s="118"/>
      <c r="BS524" s="118"/>
      <c r="BT524" s="118"/>
      <c r="BU524" s="118"/>
    </row>
    <row r="525" spans="15:73"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  <c r="BB525" s="118"/>
      <c r="BC525" s="118"/>
      <c r="BD525" s="118"/>
      <c r="BE525" s="118"/>
      <c r="BF525" s="118"/>
      <c r="BG525" s="118"/>
      <c r="BH525" s="118"/>
      <c r="BI525" s="118"/>
      <c r="BJ525" s="118"/>
      <c r="BK525" s="118"/>
      <c r="BL525" s="118"/>
      <c r="BM525" s="118"/>
      <c r="BN525" s="118"/>
      <c r="BO525" s="118"/>
      <c r="BP525" s="118"/>
      <c r="BQ525" s="118"/>
      <c r="BR525" s="118"/>
      <c r="BS525" s="118"/>
      <c r="BT525" s="118"/>
      <c r="BU525" s="118"/>
    </row>
    <row r="526" spans="15:73"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  <c r="BB526" s="118"/>
      <c r="BC526" s="118"/>
      <c r="BD526" s="118"/>
      <c r="BE526" s="118"/>
      <c r="BF526" s="118"/>
      <c r="BG526" s="118"/>
      <c r="BH526" s="118"/>
      <c r="BI526" s="118"/>
      <c r="BJ526" s="118"/>
      <c r="BK526" s="118"/>
      <c r="BL526" s="118"/>
      <c r="BM526" s="118"/>
      <c r="BN526" s="118"/>
      <c r="BO526" s="118"/>
      <c r="BP526" s="118"/>
      <c r="BQ526" s="118"/>
      <c r="BR526" s="118"/>
      <c r="BS526" s="118"/>
      <c r="BT526" s="118"/>
      <c r="BU526" s="118"/>
    </row>
    <row r="527" spans="15:73"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  <c r="BB527" s="118"/>
      <c r="BC527" s="118"/>
      <c r="BD527" s="118"/>
      <c r="BE527" s="118"/>
      <c r="BF527" s="118"/>
      <c r="BG527" s="118"/>
      <c r="BH527" s="118"/>
      <c r="BI527" s="118"/>
      <c r="BJ527" s="118"/>
      <c r="BK527" s="118"/>
      <c r="BL527" s="118"/>
      <c r="BM527" s="118"/>
      <c r="BN527" s="118"/>
      <c r="BO527" s="118"/>
      <c r="BP527" s="118"/>
      <c r="BQ527" s="118"/>
      <c r="BR527" s="118"/>
      <c r="BS527" s="118"/>
      <c r="BT527" s="118"/>
      <c r="BU527" s="118"/>
    </row>
    <row r="528" spans="15:73"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  <c r="BB528" s="118"/>
      <c r="BC528" s="118"/>
      <c r="BD528" s="118"/>
      <c r="BE528" s="118"/>
      <c r="BF528" s="118"/>
      <c r="BG528" s="118"/>
      <c r="BH528" s="118"/>
      <c r="BI528" s="118"/>
      <c r="BJ528" s="118"/>
      <c r="BK528" s="118"/>
      <c r="BL528" s="118"/>
      <c r="BM528" s="118"/>
      <c r="BN528" s="118"/>
      <c r="BO528" s="118"/>
      <c r="BP528" s="118"/>
      <c r="BQ528" s="118"/>
      <c r="BR528" s="118"/>
      <c r="BS528" s="118"/>
      <c r="BT528" s="118"/>
      <c r="BU528" s="118"/>
    </row>
    <row r="529" spans="15:73"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  <c r="BB529" s="118"/>
      <c r="BC529" s="118"/>
      <c r="BD529" s="118"/>
      <c r="BE529" s="118"/>
      <c r="BF529" s="118"/>
      <c r="BG529" s="118"/>
      <c r="BH529" s="118"/>
      <c r="BI529" s="118"/>
      <c r="BJ529" s="118"/>
      <c r="BK529" s="118"/>
      <c r="BL529" s="118"/>
      <c r="BM529" s="118"/>
      <c r="BN529" s="118"/>
      <c r="BO529" s="118"/>
      <c r="BP529" s="118"/>
      <c r="BQ529" s="118"/>
      <c r="BR529" s="118"/>
      <c r="BS529" s="118"/>
      <c r="BT529" s="118"/>
      <c r="BU529" s="118"/>
    </row>
    <row r="530" spans="15:73"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  <c r="BB530" s="118"/>
      <c r="BC530" s="118"/>
      <c r="BD530" s="118"/>
      <c r="BE530" s="118"/>
      <c r="BF530" s="118"/>
      <c r="BG530" s="118"/>
      <c r="BH530" s="118"/>
      <c r="BI530" s="118"/>
      <c r="BJ530" s="118"/>
      <c r="BK530" s="118"/>
      <c r="BL530" s="118"/>
      <c r="BM530" s="118"/>
      <c r="BN530" s="118"/>
      <c r="BO530" s="118"/>
      <c r="BP530" s="118"/>
      <c r="BQ530" s="118"/>
      <c r="BR530" s="118"/>
      <c r="BS530" s="118"/>
      <c r="BT530" s="118"/>
      <c r="BU530" s="118"/>
    </row>
    <row r="531" spans="15:73"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  <c r="BB531" s="118"/>
      <c r="BC531" s="118"/>
      <c r="BD531" s="118"/>
      <c r="BE531" s="118"/>
      <c r="BF531" s="118"/>
      <c r="BG531" s="118"/>
      <c r="BH531" s="118"/>
      <c r="BI531" s="118"/>
      <c r="BJ531" s="118"/>
      <c r="BK531" s="118"/>
      <c r="BL531" s="118"/>
      <c r="BM531" s="118"/>
      <c r="BN531" s="118"/>
      <c r="BO531" s="118"/>
      <c r="BP531" s="118"/>
      <c r="BQ531" s="118"/>
      <c r="BR531" s="118"/>
      <c r="BS531" s="118"/>
      <c r="BT531" s="118"/>
      <c r="BU531" s="118"/>
    </row>
  </sheetData>
  <dataConsolidate link="1"/>
  <phoneticPr fontId="20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3"/>
  <sheetViews>
    <sheetView showGridLines="0" zoomScale="70" zoomScaleNormal="70" workbookViewId="0"/>
  </sheetViews>
  <sheetFormatPr defaultColWidth="9.109375" defaultRowHeight="13.2"/>
  <cols>
    <col min="1" max="1" width="16" style="16" customWidth="1"/>
    <col min="2" max="2" width="12.33203125" style="16" bestFit="1" customWidth="1"/>
    <col min="3" max="3" width="13" style="16" bestFit="1" customWidth="1"/>
    <col min="4" max="4" width="8.6640625" style="16" bestFit="1" customWidth="1"/>
    <col min="5" max="5" width="11.5546875" style="16" bestFit="1" customWidth="1"/>
    <col min="6" max="6" width="1.6640625" style="16" customWidth="1"/>
    <col min="7" max="9" width="11.5546875" style="16" bestFit="1" customWidth="1"/>
    <col min="10" max="10" width="10.6640625" style="16" customWidth="1"/>
    <col min="11" max="11" width="13.5546875" style="16" customWidth="1"/>
    <col min="12" max="12" width="11.6640625" style="16" bestFit="1" customWidth="1"/>
    <col min="13" max="16384" width="9.109375" style="16"/>
  </cols>
  <sheetData>
    <row r="1" spans="1:12" ht="13.8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ht="13.8">
      <c r="A2" s="17"/>
      <c r="B2" s="200" t="s">
        <v>57</v>
      </c>
      <c r="C2" s="200"/>
      <c r="D2" s="200"/>
      <c r="E2" s="200"/>
      <c r="F2" s="21"/>
      <c r="G2" s="200" t="s">
        <v>58</v>
      </c>
      <c r="H2" s="200"/>
      <c r="I2" s="200"/>
      <c r="J2" s="17"/>
    </row>
    <row r="3" spans="1:12" ht="13.8">
      <c r="A3" s="17" t="s">
        <v>17</v>
      </c>
      <c r="B3" s="19" t="s">
        <v>20</v>
      </c>
      <c r="C3" s="23"/>
      <c r="D3" s="23"/>
      <c r="E3" s="23"/>
      <c r="F3" s="23"/>
      <c r="G3" s="23"/>
      <c r="H3" s="23"/>
      <c r="I3" s="23"/>
      <c r="J3" s="19" t="s">
        <v>59</v>
      </c>
    </row>
    <row r="4" spans="1:12" ht="13.8">
      <c r="A4" s="24" t="s">
        <v>60</v>
      </c>
      <c r="B4" s="26" t="s">
        <v>61</v>
      </c>
      <c r="C4" s="26" t="s">
        <v>26</v>
      </c>
      <c r="D4" s="26" t="s">
        <v>27</v>
      </c>
      <c r="E4" s="28" t="s">
        <v>62</v>
      </c>
      <c r="F4" s="27"/>
      <c r="G4" s="26" t="s">
        <v>63</v>
      </c>
      <c r="H4" s="26" t="s">
        <v>64</v>
      </c>
      <c r="I4" s="26" t="s">
        <v>62</v>
      </c>
      <c r="J4" s="26" t="s">
        <v>65</v>
      </c>
    </row>
    <row r="5" spans="1:12" ht="14.4">
      <c r="A5" s="17"/>
      <c r="B5" s="201" t="s">
        <v>66</v>
      </c>
      <c r="C5" s="201"/>
      <c r="D5" s="201"/>
      <c r="E5" s="201"/>
      <c r="F5" s="201"/>
      <c r="G5" s="201"/>
      <c r="H5" s="201"/>
      <c r="I5" s="201"/>
      <c r="J5" s="201"/>
    </row>
    <row r="6" spans="1:12" ht="13.8">
      <c r="A6" s="17" t="s">
        <v>34</v>
      </c>
      <c r="B6" s="48">
        <v>341.33600000000001</v>
      </c>
      <c r="C6" s="49">
        <v>50564.716999999997</v>
      </c>
      <c r="D6" s="49">
        <v>784.47037552399991</v>
      </c>
      <c r="E6" s="35">
        <f>SUM(B6:D6)</f>
        <v>51690.523375523997</v>
      </c>
      <c r="F6" s="49"/>
      <c r="G6" s="49">
        <v>37674.379976930999</v>
      </c>
      <c r="H6" s="49">
        <v>13675.348139189</v>
      </c>
      <c r="I6" s="49">
        <f>SUM(G6:H6)</f>
        <v>51349.728116120001</v>
      </c>
      <c r="J6" s="49">
        <v>340.786</v>
      </c>
    </row>
    <row r="7" spans="1:12" ht="16.2">
      <c r="A7" s="17" t="s">
        <v>35</v>
      </c>
      <c r="B7" s="48">
        <f>J6</f>
        <v>340.786</v>
      </c>
      <c r="C7" s="49">
        <f>C23</f>
        <v>51810.551000000007</v>
      </c>
      <c r="D7" s="49">
        <f>D23</f>
        <v>649.11497484899996</v>
      </c>
      <c r="E7" s="35">
        <f>E23</f>
        <v>52800.451974849006</v>
      </c>
      <c r="F7" s="49"/>
      <c r="G7" s="49">
        <f>G23</f>
        <v>38965.713926673008</v>
      </c>
      <c r="H7" s="49">
        <f>H23</f>
        <v>13523.811048175998</v>
      </c>
      <c r="I7" s="49">
        <f>I23</f>
        <v>52489.52497484901</v>
      </c>
      <c r="J7" s="49">
        <f>J22</f>
        <v>310.92700000000002</v>
      </c>
    </row>
    <row r="8" spans="1:12" ht="16.2">
      <c r="A8" s="17" t="s">
        <v>36</v>
      </c>
      <c r="B8" s="48">
        <f>J7</f>
        <v>310.92700000000002</v>
      </c>
      <c r="C8" s="49">
        <v>52839.072999999997</v>
      </c>
      <c r="D8" s="49">
        <v>600</v>
      </c>
      <c r="E8" s="35">
        <f>SUM(B8:D8)</f>
        <v>53750</v>
      </c>
      <c r="F8" s="49"/>
      <c r="G8" s="49">
        <v>39700</v>
      </c>
      <c r="H8" s="49">
        <v>13700</v>
      </c>
      <c r="I8" s="49">
        <f>E8-J8</f>
        <v>53400</v>
      </c>
      <c r="J8" s="49">
        <v>350</v>
      </c>
    </row>
    <row r="9" spans="1:12" ht="13.8">
      <c r="A9" s="17"/>
      <c r="B9" s="50"/>
      <c r="C9" s="50"/>
      <c r="D9" s="50"/>
      <c r="E9" s="50"/>
      <c r="F9" s="50"/>
      <c r="G9" s="49"/>
      <c r="H9" s="50"/>
      <c r="I9" s="50"/>
      <c r="J9" s="50"/>
    </row>
    <row r="10" spans="1:12" ht="13.8">
      <c r="A10" s="51" t="s">
        <v>53</v>
      </c>
      <c r="B10" s="52"/>
      <c r="C10" s="6"/>
      <c r="D10" s="6"/>
      <c r="E10" s="6"/>
      <c r="F10" s="6"/>
      <c r="G10" s="6"/>
      <c r="H10" s="6"/>
      <c r="I10" s="6"/>
      <c r="J10" s="6"/>
    </row>
    <row r="11" spans="1:12" ht="14.4">
      <c r="A11" s="21" t="s">
        <v>38</v>
      </c>
      <c r="B11" s="52">
        <f>J6</f>
        <v>340.786</v>
      </c>
      <c r="C11" s="6">
        <v>4591.6390000000001</v>
      </c>
      <c r="D11" s="6">
        <f>(56544.8*1.10231)/1000</f>
        <v>62.329898487999998</v>
      </c>
      <c r="E11" s="6">
        <f t="shared" ref="E11:E22" si="0">SUM(B11:D11)</f>
        <v>4994.7548984880004</v>
      </c>
      <c r="F11" s="6"/>
      <c r="G11" s="6">
        <f t="shared" ref="G11:G22" si="1">I11-H11</f>
        <v>3492.8235415470008</v>
      </c>
      <c r="H11" s="6">
        <f>(989241.1*1.10231)/1000</f>
        <v>1090.4503569409999</v>
      </c>
      <c r="I11" s="5">
        <f t="shared" ref="I11:I22" si="2">E11-J11</f>
        <v>4583.2738984880007</v>
      </c>
      <c r="J11" s="6">
        <v>411.48099999999999</v>
      </c>
      <c r="K11" s="120"/>
      <c r="L11" s="125"/>
    </row>
    <row r="12" spans="1:12" ht="14.4">
      <c r="A12" s="21" t="s">
        <v>39</v>
      </c>
      <c r="B12" s="52">
        <f t="shared" ref="B12:B19" si="3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0"/>
        <v>4905.4267354430003</v>
      </c>
      <c r="F12" s="6"/>
      <c r="G12" s="6">
        <f t="shared" si="1"/>
        <v>3282.1204081570004</v>
      </c>
      <c r="H12" s="6">
        <f>(1131890.6*1.10231)/1000</f>
        <v>1247.6943272859999</v>
      </c>
      <c r="I12" s="5">
        <f t="shared" si="2"/>
        <v>4529.8147354430002</v>
      </c>
      <c r="J12" s="6">
        <v>375.61200000000002</v>
      </c>
      <c r="K12" s="120"/>
      <c r="L12" s="125"/>
    </row>
    <row r="13" spans="1:12" ht="14.4">
      <c r="A13" s="21" t="s">
        <v>41</v>
      </c>
      <c r="B13" s="52">
        <f t="shared" si="3"/>
        <v>375.61200000000002</v>
      </c>
      <c r="C13" s="6">
        <v>4629.5519999999997</v>
      </c>
      <c r="D13" s="6">
        <f>(33571.6*1.10231)/1000</f>
        <v>37.006310395999996</v>
      </c>
      <c r="E13" s="6">
        <f t="shared" si="0"/>
        <v>5042.1703103959999</v>
      </c>
      <c r="F13" s="6"/>
      <c r="G13" s="6">
        <f t="shared" si="1"/>
        <v>3224.487584683</v>
      </c>
      <c r="H13" s="6">
        <f>(1275842.3*1.10231)/1000</f>
        <v>1406.3737257129999</v>
      </c>
      <c r="I13" s="5">
        <f t="shared" si="2"/>
        <v>4630.8613103959997</v>
      </c>
      <c r="J13" s="6">
        <v>411.30900000000003</v>
      </c>
      <c r="K13" s="120"/>
      <c r="L13" s="125"/>
    </row>
    <row r="14" spans="1:12" ht="14.4">
      <c r="A14" s="21" t="s">
        <v>42</v>
      </c>
      <c r="B14" s="52">
        <f t="shared" si="3"/>
        <v>411.30900000000003</v>
      </c>
      <c r="C14" s="6">
        <v>4533.1530000000002</v>
      </c>
      <c r="D14" s="6">
        <f>(40167.4*1.10231)/1000</f>
        <v>44.276926693999997</v>
      </c>
      <c r="E14" s="6">
        <f t="shared" si="0"/>
        <v>4988.7389266940008</v>
      </c>
      <c r="F14" s="6"/>
      <c r="G14" s="6">
        <f t="shared" si="1"/>
        <v>3259.9617703520012</v>
      </c>
      <c r="H14" s="6">
        <f>(1177548.2*1.10231)/1000</f>
        <v>1298.0231563419998</v>
      </c>
      <c r="I14" s="5">
        <f t="shared" si="2"/>
        <v>4557.9849266940009</v>
      </c>
      <c r="J14" s="6">
        <v>430.75400000000002</v>
      </c>
      <c r="K14" s="120"/>
      <c r="L14" s="125"/>
    </row>
    <row r="15" spans="1:12" ht="14.4">
      <c r="A15" s="21" t="s">
        <v>43</v>
      </c>
      <c r="B15" s="52">
        <f t="shared" si="3"/>
        <v>430.75400000000002</v>
      </c>
      <c r="C15" s="6">
        <v>4089.9549999999999</v>
      </c>
      <c r="D15" s="6">
        <f>(46777.6*1.10231)/1000</f>
        <v>51.563416255999996</v>
      </c>
      <c r="E15" s="6">
        <f t="shared" si="0"/>
        <v>4572.2724162559998</v>
      </c>
      <c r="F15" s="6"/>
      <c r="G15" s="6">
        <f t="shared" si="1"/>
        <v>3104.2082034579998</v>
      </c>
      <c r="H15" s="6">
        <f>(981745.8*1.10231)/1000</f>
        <v>1082.1882127979998</v>
      </c>
      <c r="I15" s="5">
        <f t="shared" si="2"/>
        <v>4186.3964162559996</v>
      </c>
      <c r="J15" s="6">
        <v>385.87599999999998</v>
      </c>
      <c r="K15" s="120"/>
      <c r="L15" s="125"/>
    </row>
    <row r="16" spans="1:12" ht="14.4">
      <c r="A16" s="21" t="s">
        <v>45</v>
      </c>
      <c r="B16" s="52">
        <f t="shared" si="3"/>
        <v>385.87599999999998</v>
      </c>
      <c r="C16" s="6">
        <v>4549.6310000000003</v>
      </c>
      <c r="D16" s="6">
        <f>(36598.4*1.10231)/1000</f>
        <v>40.342782304000004</v>
      </c>
      <c r="E16" s="6">
        <f t="shared" si="0"/>
        <v>4975.8497823040007</v>
      </c>
      <c r="F16" s="6"/>
      <c r="G16" s="6">
        <f t="shared" si="1"/>
        <v>3397.5364563470011</v>
      </c>
      <c r="H16" s="6">
        <f>(1086214.7*1.10231)/1000</f>
        <v>1197.3453259569999</v>
      </c>
      <c r="I16" s="5">
        <f t="shared" si="2"/>
        <v>4594.8817823040008</v>
      </c>
      <c r="J16" s="6">
        <v>380.96800000000002</v>
      </c>
      <c r="K16" s="120"/>
      <c r="L16" s="125"/>
    </row>
    <row r="17" spans="1:12" ht="14.4">
      <c r="A17" s="21" t="s">
        <v>46</v>
      </c>
      <c r="B17" s="52">
        <f t="shared" si="3"/>
        <v>380.96800000000002</v>
      </c>
      <c r="C17" s="6">
        <v>4254.5450000000001</v>
      </c>
      <c r="D17" s="6">
        <f>(55089.9*1.10231)/1000</f>
        <v>60.726147668999999</v>
      </c>
      <c r="E17" s="6">
        <f t="shared" si="0"/>
        <v>4696.239147669</v>
      </c>
      <c r="F17" s="6"/>
      <c r="G17" s="6">
        <f t="shared" si="1"/>
        <v>3065.5731103500002</v>
      </c>
      <c r="H17" s="6">
        <f>(1075604.9*1.10231)/1000</f>
        <v>1185.6500373189999</v>
      </c>
      <c r="I17" s="5">
        <f t="shared" si="2"/>
        <v>4251.2231476690004</v>
      </c>
      <c r="J17" s="6">
        <v>445.01600000000002</v>
      </c>
      <c r="K17" s="120"/>
      <c r="L17" s="125"/>
    </row>
    <row r="18" spans="1:12" ht="14.4">
      <c r="A18" s="21" t="s">
        <v>47</v>
      </c>
      <c r="B18" s="52">
        <f t="shared" si="3"/>
        <v>445.01600000000002</v>
      </c>
      <c r="C18" s="6">
        <v>4260.0889999999999</v>
      </c>
      <c r="D18" s="126">
        <f>(66198.8*1.10231)/1000</f>
        <v>72.971599227999988</v>
      </c>
      <c r="E18" s="6">
        <f t="shared" si="0"/>
        <v>4778.0765992279994</v>
      </c>
      <c r="F18" s="6"/>
      <c r="G18" s="6">
        <f t="shared" si="1"/>
        <v>3171.9378907949995</v>
      </c>
      <c r="H18" s="126">
        <f>(1036354.3*1.10231)/1000</f>
        <v>1142.3837084329998</v>
      </c>
      <c r="I18" s="5">
        <f t="shared" si="2"/>
        <v>4314.3215992279993</v>
      </c>
      <c r="J18" s="6">
        <v>463.755</v>
      </c>
      <c r="K18" s="120"/>
      <c r="L18" s="125"/>
    </row>
    <row r="19" spans="1:12" ht="14.4">
      <c r="A19" s="21" t="s">
        <v>49</v>
      </c>
      <c r="B19" s="52">
        <f t="shared" si="3"/>
        <v>463.755</v>
      </c>
      <c r="C19" s="6">
        <v>4106.5650000000005</v>
      </c>
      <c r="D19" s="126">
        <f>(56052.6*1.10231)/1000</f>
        <v>61.78734150599999</v>
      </c>
      <c r="E19" s="6">
        <f t="shared" si="0"/>
        <v>4632.1073415060009</v>
      </c>
      <c r="F19" s="6"/>
      <c r="G19" s="6">
        <f t="shared" si="1"/>
        <v>3129.3458416380008</v>
      </c>
      <c r="H19" s="126">
        <f>(1039142.8*1.10231)/1000</f>
        <v>1145.457499868</v>
      </c>
      <c r="I19" s="5">
        <f t="shared" si="2"/>
        <v>4274.8033415060008</v>
      </c>
      <c r="J19" s="6">
        <v>357.30399999999997</v>
      </c>
      <c r="K19" s="120"/>
      <c r="L19"/>
    </row>
    <row r="20" spans="1:12" ht="14.4">
      <c r="A20" s="21" t="s">
        <v>50</v>
      </c>
      <c r="B20" s="52">
        <f>J19</f>
        <v>357.30399999999997</v>
      </c>
      <c r="C20" s="6">
        <v>4266.3760000000002</v>
      </c>
      <c r="D20" s="126">
        <f>(67390*1.10231)/1000</f>
        <v>74.284670899999995</v>
      </c>
      <c r="E20" s="6">
        <f t="shared" si="0"/>
        <v>4697.9646708999999</v>
      </c>
      <c r="F20" s="6"/>
      <c r="G20" s="6">
        <f t="shared" si="1"/>
        <v>3259.8698691549998</v>
      </c>
      <c r="H20" s="126">
        <f>(829589.5*1.10231)/1000</f>
        <v>914.46480174499993</v>
      </c>
      <c r="I20" s="5">
        <f t="shared" si="2"/>
        <v>4174.3346708999998</v>
      </c>
      <c r="J20" s="6">
        <v>523.63</v>
      </c>
      <c r="K20" s="120"/>
      <c r="L20"/>
    </row>
    <row r="21" spans="1:12" ht="14.4">
      <c r="A21" s="21" t="s">
        <v>51</v>
      </c>
      <c r="B21" s="52">
        <f>J20</f>
        <v>523.63</v>
      </c>
      <c r="C21" s="6">
        <v>4147.2370000000001</v>
      </c>
      <c r="D21" s="126">
        <f>(45618.3*1.10231)/1000</f>
        <v>50.285508272999998</v>
      </c>
      <c r="E21" s="6">
        <f t="shared" si="0"/>
        <v>4721.1525082730004</v>
      </c>
      <c r="F21" s="6"/>
      <c r="G21" s="6">
        <f t="shared" si="1"/>
        <v>3460.3667325930005</v>
      </c>
      <c r="H21" s="126">
        <f>(828128*1.10231)/1000</f>
        <v>912.85377568000001</v>
      </c>
      <c r="I21" s="5">
        <f t="shared" si="2"/>
        <v>4373.2205082730006</v>
      </c>
      <c r="J21" s="6">
        <v>347.93200000000002</v>
      </c>
      <c r="K21" s="120"/>
      <c r="L21"/>
    </row>
    <row r="22" spans="1:12" ht="14.4">
      <c r="A22" s="21" t="s">
        <v>37</v>
      </c>
      <c r="B22" s="52">
        <f>J21</f>
        <v>347.93200000000002</v>
      </c>
      <c r="C22" s="6">
        <v>3925.0389999999998</v>
      </c>
      <c r="D22" s="126">
        <f>(51133.2*1.10231)/1000</f>
        <v>56.364637691999988</v>
      </c>
      <c r="E22" s="6">
        <f t="shared" si="0"/>
        <v>4329.3356376919992</v>
      </c>
      <c r="F22" s="6"/>
      <c r="G22" s="6">
        <f t="shared" si="1"/>
        <v>3117.482517597999</v>
      </c>
      <c r="H22" s="126">
        <f>(817307.4*1.10231)/1000</f>
        <v>900.92612009399988</v>
      </c>
      <c r="I22" s="5">
        <f t="shared" si="2"/>
        <v>4018.408637691999</v>
      </c>
      <c r="J22" s="6">
        <v>310.92700000000002</v>
      </c>
      <c r="K22" s="151"/>
      <c r="L22"/>
    </row>
    <row r="23" spans="1:12" ht="14.4">
      <c r="A23" s="21" t="s">
        <v>28</v>
      </c>
      <c r="B23" s="52"/>
      <c r="C23" s="6">
        <f>SUM(C11:C22)</f>
        <v>51810.551000000007</v>
      </c>
      <c r="D23" s="6">
        <f>(588867.9*1.10231)/1000</f>
        <v>649.11497484899996</v>
      </c>
      <c r="E23" s="6">
        <f>B11+C23+D23</f>
        <v>52800.451974849006</v>
      </c>
      <c r="F23" s="6"/>
      <c r="G23" s="6">
        <f>SUM(G11:G22)</f>
        <v>38965.713926673008</v>
      </c>
      <c r="H23" s="6">
        <f>(12268609.6*1.10231)/1000</f>
        <v>13523.811048175998</v>
      </c>
      <c r="I23" s="6">
        <f>SUM(I11:I22)</f>
        <v>52489.52497484901</v>
      </c>
      <c r="J23" s="6"/>
      <c r="K23" s="120"/>
      <c r="L23"/>
    </row>
    <row r="24" spans="1:12" ht="14.4">
      <c r="A24" s="21"/>
      <c r="B24" s="52"/>
      <c r="C24" s="6"/>
      <c r="D24" s="6"/>
      <c r="E24" s="6"/>
      <c r="F24" s="6"/>
      <c r="G24" s="6"/>
      <c r="H24" s="6"/>
      <c r="I24" s="6"/>
      <c r="J24" s="6"/>
      <c r="K24" s="120"/>
      <c r="L24"/>
    </row>
    <row r="25" spans="1:12" ht="14.4">
      <c r="A25" s="51" t="s">
        <v>156</v>
      </c>
      <c r="B25" s="52"/>
      <c r="C25" s="6"/>
      <c r="D25" s="6"/>
      <c r="E25" s="6"/>
      <c r="F25" s="6"/>
      <c r="G25" s="6"/>
      <c r="H25" s="6"/>
      <c r="I25" s="6"/>
      <c r="J25" s="6"/>
      <c r="K25" s="120"/>
      <c r="L25"/>
    </row>
    <row r="26" spans="1:12" ht="14.4">
      <c r="A26" s="15" t="s">
        <v>38</v>
      </c>
      <c r="B26" s="53">
        <f>J22</f>
        <v>310.92700000000002</v>
      </c>
      <c r="C26" s="44">
        <v>4603.3959999999997</v>
      </c>
      <c r="D26" s="44">
        <f>(58138.2*1.10231)/1000</f>
        <v>64.086319241999988</v>
      </c>
      <c r="E26" s="44">
        <f t="shared" ref="E26" si="4">SUM(B26:D26)</f>
        <v>4978.4093192419996</v>
      </c>
      <c r="F26" s="44"/>
      <c r="G26" s="44">
        <f t="shared" ref="G26" si="5">I26-H26</f>
        <v>3640.5241230109996</v>
      </c>
      <c r="H26" s="44">
        <f>(870600.1*1.10231)/1000</f>
        <v>959.67119623099984</v>
      </c>
      <c r="I26" s="59">
        <f t="shared" ref="I26" si="6">E26-J26</f>
        <v>4600.1953192419996</v>
      </c>
      <c r="J26" s="44">
        <v>378.214</v>
      </c>
      <c r="K26" s="120"/>
      <c r="L26"/>
    </row>
    <row r="27" spans="1:12" ht="16.2">
      <c r="A27" s="54" t="s">
        <v>67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2" ht="14.4">
      <c r="A28" s="17" t="s">
        <v>68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2" ht="13.8">
      <c r="A29" s="23" t="s">
        <v>56</v>
      </c>
      <c r="B29" s="46">
        <f>Contents!A16</f>
        <v>44908</v>
      </c>
      <c r="C29" s="42"/>
      <c r="D29" s="36"/>
      <c r="E29" s="36"/>
      <c r="F29" s="36"/>
      <c r="G29" s="36"/>
      <c r="H29" s="36"/>
      <c r="I29" s="36"/>
      <c r="J29" s="36"/>
    </row>
    <row r="30" spans="1:12">
      <c r="A30" s="55"/>
      <c r="B30" s="56"/>
      <c r="C30" s="57"/>
      <c r="D30" s="56"/>
      <c r="E30" s="114"/>
      <c r="F30" s="56"/>
      <c r="G30" s="56"/>
      <c r="H30" s="58"/>
      <c r="I30" s="114"/>
      <c r="J30" s="56"/>
    </row>
    <row r="31" spans="1:12">
      <c r="A31" s="55"/>
      <c r="B31" s="56"/>
      <c r="C31" s="56"/>
      <c r="D31" s="56"/>
      <c r="E31" s="56"/>
      <c r="F31" s="56"/>
      <c r="G31" s="56"/>
      <c r="H31" s="56"/>
      <c r="I31" s="56"/>
      <c r="J31" s="56"/>
    </row>
    <row r="32" spans="1:12">
      <c r="A32" s="55"/>
      <c r="B32" s="55"/>
      <c r="C32" s="55"/>
      <c r="D32" s="55"/>
      <c r="E32" s="55"/>
      <c r="F32" s="55"/>
      <c r="G32" s="55"/>
      <c r="H32" s="55"/>
      <c r="I32" s="55"/>
      <c r="J32" s="55"/>
    </row>
    <row r="33" spans="1:10">
      <c r="A33" s="55"/>
      <c r="B33" s="55"/>
      <c r="C33" s="55"/>
      <c r="D33" s="55"/>
      <c r="E33" s="55"/>
      <c r="F33" s="55"/>
      <c r="G33" s="55"/>
      <c r="H33" s="55"/>
      <c r="I33" s="55"/>
      <c r="J33" s="55"/>
    </row>
  </sheetData>
  <mergeCells count="3">
    <mergeCell ref="G2:I2"/>
    <mergeCell ref="B5:J5"/>
    <mergeCell ref="B2:E2"/>
  </mergeCells>
  <phoneticPr fontId="20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0"/>
  <sheetViews>
    <sheetView showGridLines="0" zoomScale="70" zoomScaleNormal="70" workbookViewId="0"/>
  </sheetViews>
  <sheetFormatPr defaultColWidth="9.109375" defaultRowHeight="13.2"/>
  <cols>
    <col min="1" max="1" width="15.44140625" style="16" customWidth="1"/>
    <col min="2" max="2" width="12.33203125" style="16" bestFit="1" customWidth="1"/>
    <col min="3" max="3" width="12.109375" style="16" bestFit="1" customWidth="1"/>
    <col min="4" max="4" width="11" style="16" bestFit="1" customWidth="1"/>
    <col min="5" max="5" width="11.33203125" style="16" bestFit="1" customWidth="1"/>
    <col min="6" max="6" width="3.6640625" style="16" customWidth="1"/>
    <col min="7" max="7" width="11.5546875" style="16" bestFit="1" customWidth="1"/>
    <col min="8" max="8" width="10.6640625" style="16" customWidth="1"/>
    <col min="9" max="9" width="12.6640625" style="16" customWidth="1"/>
    <col min="10" max="10" width="9.6640625" style="16" bestFit="1" customWidth="1"/>
    <col min="11" max="11" width="11.5546875" style="16" bestFit="1" customWidth="1"/>
    <col min="12" max="12" width="12.5546875" style="16" bestFit="1" customWidth="1"/>
    <col min="13" max="13" width="9.109375" style="16"/>
    <col min="14" max="14" width="11.109375" style="16" customWidth="1"/>
    <col min="15" max="16384" width="9.109375" style="16"/>
  </cols>
  <sheetData>
    <row r="1" spans="1:14" ht="13.8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3.8">
      <c r="A2" s="17"/>
      <c r="B2" s="200" t="s">
        <v>57</v>
      </c>
      <c r="C2" s="200"/>
      <c r="D2" s="200"/>
      <c r="E2" s="200"/>
      <c r="F2" s="21"/>
      <c r="G2" s="200" t="s">
        <v>58</v>
      </c>
      <c r="H2" s="200"/>
      <c r="I2" s="200"/>
      <c r="J2" s="133"/>
      <c r="K2" s="133"/>
      <c r="L2" s="17"/>
    </row>
    <row r="3" spans="1:14" ht="13.8">
      <c r="A3" s="17" t="s">
        <v>17</v>
      </c>
      <c r="B3" s="19" t="s">
        <v>69</v>
      </c>
      <c r="C3" s="38" t="s">
        <v>26</v>
      </c>
      <c r="D3" s="38" t="s">
        <v>70</v>
      </c>
      <c r="E3" s="38" t="s">
        <v>62</v>
      </c>
      <c r="F3" s="38"/>
      <c r="G3" s="133" t="s">
        <v>63</v>
      </c>
      <c r="H3" s="133"/>
      <c r="I3" s="133"/>
      <c r="J3" s="38" t="s">
        <v>71</v>
      </c>
      <c r="K3" s="38" t="s">
        <v>62</v>
      </c>
      <c r="L3" s="38" t="s">
        <v>59</v>
      </c>
    </row>
    <row r="4" spans="1:14" ht="16.2">
      <c r="A4" s="24" t="s">
        <v>60</v>
      </c>
      <c r="B4" s="26" t="s">
        <v>61</v>
      </c>
      <c r="C4" s="27"/>
      <c r="D4" s="27"/>
      <c r="E4" s="27"/>
      <c r="F4" s="27"/>
      <c r="G4" s="26" t="s">
        <v>28</v>
      </c>
      <c r="H4" s="26" t="s">
        <v>72</v>
      </c>
      <c r="I4" s="26" t="s">
        <v>73</v>
      </c>
      <c r="J4" s="27"/>
      <c r="K4" s="27"/>
      <c r="L4" s="38" t="s">
        <v>65</v>
      </c>
    </row>
    <row r="5" spans="1:14" ht="14.4">
      <c r="A5" s="17"/>
      <c r="B5" s="202" t="s">
        <v>74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4" ht="13.8">
      <c r="A6" s="17" t="s">
        <v>34</v>
      </c>
      <c r="B6" s="50">
        <v>1852.675</v>
      </c>
      <c r="C6" s="50">
        <v>25022.667000000001</v>
      </c>
      <c r="D6" s="50">
        <v>301.5817074144</v>
      </c>
      <c r="E6" s="50">
        <f>SUM(B6:D6)</f>
        <v>27176.9237074144</v>
      </c>
      <c r="F6" s="50"/>
      <c r="G6" s="50">
        <f>K6-J6</f>
        <v>23314.332046145799</v>
      </c>
      <c r="H6" s="50">
        <v>8920.4621000000006</v>
      </c>
      <c r="I6" s="35">
        <v>14393.8697256836</v>
      </c>
      <c r="J6" s="50">
        <v>1731.3586612685999</v>
      </c>
      <c r="K6" s="50">
        <f>E6-L6</f>
        <v>25045.6907074144</v>
      </c>
      <c r="L6" s="50">
        <v>2131.2330000000002</v>
      </c>
      <c r="M6" s="109"/>
    </row>
    <row r="7" spans="1:14" ht="16.2">
      <c r="A7" s="17" t="s">
        <v>35</v>
      </c>
      <c r="B7" s="50">
        <f>L6</f>
        <v>2131.2330000000002</v>
      </c>
      <c r="C7" s="50">
        <f>C23</f>
        <v>26143.213000000003</v>
      </c>
      <c r="D7" s="50">
        <f>D23</f>
        <v>303.28830530459993</v>
      </c>
      <c r="E7" s="50">
        <f>E23</f>
        <v>28577.734305304602</v>
      </c>
      <c r="F7" s="50"/>
      <c r="G7" s="50">
        <f>K7-J7</f>
        <v>24813.1431737536</v>
      </c>
      <c r="H7" s="50">
        <v>10348.19</v>
      </c>
      <c r="I7" s="35">
        <f>G7-H7</f>
        <v>14464.9531737536</v>
      </c>
      <c r="J7" s="50">
        <f>J23</f>
        <v>1773.4431315509999</v>
      </c>
      <c r="K7" s="50">
        <f>E7-L7</f>
        <v>26586.586305304601</v>
      </c>
      <c r="L7" s="50">
        <f>L22</f>
        <v>1991.1480000000001</v>
      </c>
    </row>
    <row r="8" spans="1:14" ht="16.2">
      <c r="A8" s="17" t="s">
        <v>36</v>
      </c>
      <c r="B8" s="50">
        <f>L7</f>
        <v>1991.1480000000001</v>
      </c>
      <c r="C8" s="50">
        <v>26310</v>
      </c>
      <c r="D8" s="50">
        <v>300</v>
      </c>
      <c r="E8" s="50">
        <f>SUM(B8:D8)</f>
        <v>28601.148000000001</v>
      </c>
      <c r="F8" s="50"/>
      <c r="G8" s="50">
        <f>K8-J8</f>
        <v>25600.148000000001</v>
      </c>
      <c r="H8" s="50">
        <v>11600</v>
      </c>
      <c r="I8" s="35">
        <f>G8-H8</f>
        <v>14000.148000000001</v>
      </c>
      <c r="J8" s="50">
        <v>1100</v>
      </c>
      <c r="K8" s="50">
        <f>E8-L8</f>
        <v>26700.148000000001</v>
      </c>
      <c r="L8" s="50">
        <v>1901</v>
      </c>
    </row>
    <row r="9" spans="1:14" ht="13.8">
      <c r="A9" s="17"/>
      <c r="B9" s="50"/>
      <c r="C9" s="50"/>
      <c r="D9" s="50"/>
      <c r="E9" s="50"/>
      <c r="F9" s="50"/>
      <c r="G9" s="50"/>
      <c r="H9" s="50"/>
      <c r="I9" s="110"/>
      <c r="J9" s="50"/>
      <c r="K9" s="50"/>
      <c r="L9" s="50"/>
    </row>
    <row r="10" spans="1:14" ht="13.8">
      <c r="A10" s="39" t="s">
        <v>53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>
      <c r="A11" s="21" t="s">
        <v>38</v>
      </c>
      <c r="B11" s="5">
        <f>L6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0">SUM(B11:D11)</f>
        <v>4514.6418553574003</v>
      </c>
      <c r="F11" s="5"/>
      <c r="G11" s="5">
        <f t="shared" ref="G11:G22" si="1">K11-J11</f>
        <v>2071.1409910572002</v>
      </c>
      <c r="H11" s="6">
        <v>832.42700000000002</v>
      </c>
      <c r="I11" s="6">
        <f t="shared" ref="I11:I22" si="2">G11-H11</f>
        <v>1238.7139910572</v>
      </c>
      <c r="J11" s="6">
        <f>(25929.1*2204.622)/1000000</f>
        <v>57.16386430019999</v>
      </c>
      <c r="K11" s="6">
        <f t="shared" ref="K11:K22" si="3">E11-L11</f>
        <v>2128.3048553574004</v>
      </c>
      <c r="L11" s="5">
        <v>2386.337</v>
      </c>
      <c r="N11" s="125"/>
    </row>
    <row r="12" spans="1:14" ht="13.8">
      <c r="A12" s="21" t="s">
        <v>39</v>
      </c>
      <c r="B12" s="5">
        <f t="shared" ref="B12:B22" si="4">L11</f>
        <v>2386.337</v>
      </c>
      <c r="C12" s="6">
        <v>2235.37</v>
      </c>
      <c r="D12" s="6">
        <f>(15479.7*2204.622)/1000000</f>
        <v>34.1268871734</v>
      </c>
      <c r="E12" s="6">
        <f t="shared" si="0"/>
        <v>4655.8338871734004</v>
      </c>
      <c r="F12" s="5"/>
      <c r="G12" s="5">
        <f t="shared" si="1"/>
        <v>2020.5919628710003</v>
      </c>
      <c r="H12" s="6">
        <v>818.01271279999992</v>
      </c>
      <c r="I12" s="6">
        <f t="shared" si="2"/>
        <v>1202.5792500710004</v>
      </c>
      <c r="J12" s="6">
        <f>(103999.2*2204.622)/1000000</f>
        <v>229.27892430239996</v>
      </c>
      <c r="K12" s="6">
        <f t="shared" si="3"/>
        <v>2249.8708871734002</v>
      </c>
      <c r="L12" s="5">
        <v>2405.9630000000002</v>
      </c>
      <c r="N12" s="125"/>
    </row>
    <row r="13" spans="1:14" ht="13.8">
      <c r="A13" s="21" t="s">
        <v>41</v>
      </c>
      <c r="B13" s="5">
        <f t="shared" si="4"/>
        <v>2405.9630000000002</v>
      </c>
      <c r="C13" s="6">
        <v>2324.183</v>
      </c>
      <c r="D13" s="6">
        <f>(14353.5*2204.622)/1000000</f>
        <v>31.644041876999996</v>
      </c>
      <c r="E13" s="6">
        <f t="shared" si="0"/>
        <v>4761.7900418770005</v>
      </c>
      <c r="F13" s="63"/>
      <c r="G13" s="5">
        <f t="shared" si="1"/>
        <v>2130.8006323142004</v>
      </c>
      <c r="H13" s="6">
        <v>938.34100000000001</v>
      </c>
      <c r="I13" s="6">
        <f t="shared" si="2"/>
        <v>1192.4596323142005</v>
      </c>
      <c r="J13" s="6">
        <f>(74887.4*2204.622)/1000000</f>
        <v>165.09840956279999</v>
      </c>
      <c r="K13" s="6">
        <f t="shared" si="3"/>
        <v>2295.8990418770004</v>
      </c>
      <c r="L13" s="5">
        <v>2465.8910000000001</v>
      </c>
      <c r="N13" s="125"/>
    </row>
    <row r="14" spans="1:14" ht="13.8">
      <c r="A14" s="21" t="s">
        <v>42</v>
      </c>
      <c r="B14" s="5">
        <f t="shared" si="4"/>
        <v>2465.8910000000001</v>
      </c>
      <c r="C14" s="6">
        <v>2277.355</v>
      </c>
      <c r="D14" s="6">
        <f>(7352.3*2204.622)/1000000</f>
        <v>16.209042330599999</v>
      </c>
      <c r="E14" s="6">
        <f t="shared" si="0"/>
        <v>4759.4550423306</v>
      </c>
      <c r="F14" s="63"/>
      <c r="G14" s="5">
        <f t="shared" si="1"/>
        <v>1975.1484729870001</v>
      </c>
      <c r="H14" s="6">
        <v>791.38699999999994</v>
      </c>
      <c r="I14" s="6">
        <f t="shared" si="2"/>
        <v>1183.7614729870002</v>
      </c>
      <c r="J14" s="6">
        <f>(128993.8*2204.622)/1000000</f>
        <v>284.38256934359998</v>
      </c>
      <c r="K14" s="6">
        <f t="shared" si="3"/>
        <v>2259.5310423306</v>
      </c>
      <c r="L14" s="5">
        <v>2499.924</v>
      </c>
      <c r="N14" s="125"/>
    </row>
    <row r="15" spans="1:14" ht="13.8">
      <c r="A15" s="21" t="s">
        <v>43</v>
      </c>
      <c r="B15" s="5">
        <f t="shared" si="4"/>
        <v>2499.924</v>
      </c>
      <c r="C15" s="6">
        <v>2064.1990000000001</v>
      </c>
      <c r="D15" s="6">
        <f>(9762.4*2204.622)/1000000</f>
        <v>21.522401812799998</v>
      </c>
      <c r="E15" s="6">
        <f t="shared" si="0"/>
        <v>4585.6454018127997</v>
      </c>
      <c r="F15" s="63"/>
      <c r="G15" s="5">
        <f t="shared" si="1"/>
        <v>1783.8920882499997</v>
      </c>
      <c r="H15" s="6">
        <v>740.60299999999995</v>
      </c>
      <c r="I15" s="6">
        <f t="shared" si="2"/>
        <v>1043.2890882499996</v>
      </c>
      <c r="J15" s="6">
        <f>(106887.4*2204.622)/1000000</f>
        <v>235.64631356279995</v>
      </c>
      <c r="K15" s="6">
        <f t="shared" si="3"/>
        <v>2019.5384018127997</v>
      </c>
      <c r="L15" s="5">
        <v>2566.107</v>
      </c>
      <c r="N15" s="125"/>
    </row>
    <row r="16" spans="1:14" ht="13.8">
      <c r="A16" s="21" t="s">
        <v>45</v>
      </c>
      <c r="B16" s="5">
        <f t="shared" si="4"/>
        <v>2566.107</v>
      </c>
      <c r="C16" s="6">
        <v>2277.5410000000002</v>
      </c>
      <c r="D16" s="6">
        <f>(10063.7*2204.622)/1000000</f>
        <v>22.1866544214</v>
      </c>
      <c r="E16" s="6">
        <f t="shared" ref="E16:E22" si="5">SUM(B16:D16)</f>
        <v>4865.8346544214</v>
      </c>
      <c r="F16" s="63"/>
      <c r="G16" s="5">
        <f t="shared" si="1"/>
        <v>2165.6971246716002</v>
      </c>
      <c r="H16" s="6">
        <v>908.29</v>
      </c>
      <c r="I16" s="6">
        <f t="shared" si="2"/>
        <v>1257.4071246716003</v>
      </c>
      <c r="J16" s="6">
        <f>(120845.9*2204.622)/1000000</f>
        <v>266.41952974979995</v>
      </c>
      <c r="K16" s="6">
        <f t="shared" si="3"/>
        <v>2432.1166544214002</v>
      </c>
      <c r="L16" s="5">
        <v>2433.7179999999998</v>
      </c>
      <c r="N16" s="125"/>
    </row>
    <row r="17" spans="1:14" ht="13.8">
      <c r="A17" s="21" t="s">
        <v>46</v>
      </c>
      <c r="B17" s="5">
        <f t="shared" si="4"/>
        <v>2433.7179999999998</v>
      </c>
      <c r="C17" s="6">
        <v>2143.1179999999999</v>
      </c>
      <c r="D17" s="6">
        <f>(10668.4*2204.622)/1000000</f>
        <v>23.519789344799999</v>
      </c>
      <c r="E17" s="6">
        <f t="shared" si="5"/>
        <v>4600.3557893447996</v>
      </c>
      <c r="F17" s="63"/>
      <c r="G17" s="5">
        <f t="shared" si="1"/>
        <v>2008.0816443671997</v>
      </c>
      <c r="H17" s="6">
        <v>838.9</v>
      </c>
      <c r="I17" s="6">
        <f t="shared" si="2"/>
        <v>1169.1816443671996</v>
      </c>
      <c r="J17" s="6">
        <f>(76240.8*2204.622)/1000000</f>
        <v>168.0821449776</v>
      </c>
      <c r="K17" s="6">
        <f t="shared" si="3"/>
        <v>2176.1637893447996</v>
      </c>
      <c r="L17" s="5">
        <v>2424.192</v>
      </c>
      <c r="N17" s="125"/>
    </row>
    <row r="18" spans="1:14" ht="13.8">
      <c r="A18" s="21" t="s">
        <v>47</v>
      </c>
      <c r="B18" s="5">
        <f t="shared" si="4"/>
        <v>2424.192</v>
      </c>
      <c r="C18" s="6">
        <v>2158.7739999999999</v>
      </c>
      <c r="D18" s="126">
        <f>(11311.9*2204.622)/1000000</f>
        <v>24.938463601799999</v>
      </c>
      <c r="E18" s="6">
        <f t="shared" si="5"/>
        <v>4607.9044636018007</v>
      </c>
      <c r="F18" s="63"/>
      <c r="G18" s="5">
        <f t="shared" si="1"/>
        <v>2149.6411321876008</v>
      </c>
      <c r="H18" s="6">
        <v>855.57100000000003</v>
      </c>
      <c r="I18" s="6">
        <f t="shared" si="2"/>
        <v>1294.0701321876008</v>
      </c>
      <c r="J18" s="126">
        <f>(33516.1*2204.622)/1000000</f>
        <v>73.890331414199991</v>
      </c>
      <c r="K18" s="6">
        <f t="shared" si="3"/>
        <v>2223.5314636018006</v>
      </c>
      <c r="L18" s="5">
        <v>2384.373</v>
      </c>
      <c r="N18" s="125"/>
    </row>
    <row r="19" spans="1:14" ht="13.8">
      <c r="A19" s="21" t="s">
        <v>49</v>
      </c>
      <c r="B19" s="5">
        <f t="shared" si="4"/>
        <v>2384.373</v>
      </c>
      <c r="C19" s="6">
        <v>2068.578</v>
      </c>
      <c r="D19" s="126">
        <f>(10963.3*2204.622)/1000000</f>
        <v>24.169932372599998</v>
      </c>
      <c r="E19" s="6">
        <f t="shared" si="5"/>
        <v>4477.1209323725998</v>
      </c>
      <c r="F19" s="63"/>
      <c r="G19" s="5">
        <f t="shared" si="1"/>
        <v>2088.4572126891999</v>
      </c>
      <c r="H19" s="6">
        <v>809.79899999999998</v>
      </c>
      <c r="I19" s="6">
        <f t="shared" si="2"/>
        <v>1278.6582126891999</v>
      </c>
      <c r="J19" s="126">
        <f>(33184.7*2204.622)/1000000</f>
        <v>73.159719683399985</v>
      </c>
      <c r="K19" s="6">
        <f t="shared" si="3"/>
        <v>2161.6169323725999</v>
      </c>
      <c r="L19" s="5">
        <v>2315.5039999999999</v>
      </c>
      <c r="N19"/>
    </row>
    <row r="20" spans="1:14" ht="13.8">
      <c r="A20" s="21" t="s">
        <v>50</v>
      </c>
      <c r="B20" s="5">
        <f t="shared" si="4"/>
        <v>2315.5039999999999</v>
      </c>
      <c r="C20" s="6">
        <v>2157.9699999999998</v>
      </c>
      <c r="D20" s="126">
        <f>(11391.7*2204.622)/1000000</f>
        <v>25.114392437399999</v>
      </c>
      <c r="E20" s="6">
        <f t="shared" si="5"/>
        <v>4498.5883924374002</v>
      </c>
      <c r="F20" s="63"/>
      <c r="G20" s="5">
        <f t="shared" si="1"/>
        <v>2152.2464242048004</v>
      </c>
      <c r="H20" s="6">
        <v>956.48800000000006</v>
      </c>
      <c r="I20" s="6">
        <f t="shared" si="2"/>
        <v>1195.7584242048003</v>
      </c>
      <c r="J20" s="126">
        <f>(53593.3*2204.622)/1000000</f>
        <v>118.1529682326</v>
      </c>
      <c r="K20" s="6">
        <f t="shared" si="3"/>
        <v>2270.3993924374004</v>
      </c>
      <c r="L20" s="5">
        <v>2228.1889999999999</v>
      </c>
      <c r="N20"/>
    </row>
    <row r="21" spans="1:14" ht="13.8">
      <c r="A21" s="21" t="s">
        <v>51</v>
      </c>
      <c r="B21" s="5">
        <f t="shared" si="4"/>
        <v>2228.1889999999999</v>
      </c>
      <c r="C21" s="6">
        <v>2095.5810000000001</v>
      </c>
      <c r="D21" s="126">
        <f>(9641.3*2204.622)/1000000</f>
        <v>21.2554220886</v>
      </c>
      <c r="E21" s="6">
        <f t="shared" si="5"/>
        <v>4345.0254220886009</v>
      </c>
      <c r="F21" s="63"/>
      <c r="G21" s="5">
        <f t="shared" si="1"/>
        <v>2184.2202080034012</v>
      </c>
      <c r="H21" s="6">
        <v>924.71799999999996</v>
      </c>
      <c r="I21" s="6">
        <f t="shared" si="2"/>
        <v>1259.5022080034014</v>
      </c>
      <c r="J21" s="126">
        <f>(25896.6*2204.622)/1000000</f>
        <v>57.092214085199991</v>
      </c>
      <c r="K21" s="6">
        <f t="shared" si="3"/>
        <v>2241.3124220886011</v>
      </c>
      <c r="L21" s="5">
        <v>2103.7129999999997</v>
      </c>
      <c r="N21"/>
    </row>
    <row r="22" spans="1:14" ht="13.8">
      <c r="A22" s="21" t="s">
        <v>37</v>
      </c>
      <c r="B22" s="5">
        <f t="shared" si="4"/>
        <v>2103.7129999999997</v>
      </c>
      <c r="C22" s="6">
        <v>1992.9639999999999</v>
      </c>
      <c r="D22" s="126">
        <f>(10329.4*2204.622)/1000000</f>
        <v>22.772422486799996</v>
      </c>
      <c r="E22" s="6">
        <f t="shared" si="5"/>
        <v>4119.4494224867994</v>
      </c>
      <c r="F22" s="63"/>
      <c r="G22" s="5">
        <f t="shared" si="1"/>
        <v>2083.2250596881995</v>
      </c>
      <c r="H22" s="6">
        <v>933.65499999999997</v>
      </c>
      <c r="I22" s="6">
        <f t="shared" si="2"/>
        <v>1149.5700596881995</v>
      </c>
      <c r="J22" s="126">
        <f>(20446.3*2204.622)/1000000</f>
        <v>45.076362798599995</v>
      </c>
      <c r="K22" s="6">
        <f t="shared" si="3"/>
        <v>2128.3014224867993</v>
      </c>
      <c r="L22" s="5">
        <v>1991.1480000000001</v>
      </c>
      <c r="N22"/>
    </row>
    <row r="23" spans="1:14" ht="13.8">
      <c r="A23" s="21" t="s">
        <v>28</v>
      </c>
      <c r="B23" s="5"/>
      <c r="C23" s="6">
        <f>SUM(C11:C22)</f>
        <v>26143.213000000003</v>
      </c>
      <c r="D23" s="6">
        <f>(137569.3*2204.622)/1000000</f>
        <v>303.28830530459993</v>
      </c>
      <c r="E23" s="6">
        <f>B11+C23+D23</f>
        <v>28577.734305304602</v>
      </c>
      <c r="F23" s="5"/>
      <c r="G23" s="5">
        <f>SUM(G11:G22)</f>
        <v>24813.142953291401</v>
      </c>
      <c r="H23" s="6">
        <f>SUM(H11:H22)</f>
        <v>10348.1917128</v>
      </c>
      <c r="I23" s="6">
        <f>SUM(I11:I22)</f>
        <v>14464.951240491402</v>
      </c>
      <c r="J23" s="6">
        <f>(804420.5*2204.622)/1000000</f>
        <v>1773.4431315509999</v>
      </c>
      <c r="K23" s="5">
        <f>SUM(K11:K22)</f>
        <v>26586.586305304601</v>
      </c>
      <c r="L23" s="5"/>
      <c r="N23"/>
    </row>
    <row r="24" spans="1:14" ht="13.8">
      <c r="A24" s="21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  <c r="N24"/>
    </row>
    <row r="25" spans="1:14" ht="13.8">
      <c r="A25" s="51" t="s">
        <v>156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  <c r="N25"/>
    </row>
    <row r="26" spans="1:14" ht="13.8">
      <c r="A26" s="15" t="s">
        <v>38</v>
      </c>
      <c r="B26" s="59">
        <f>L22</f>
        <v>1991.1480000000001</v>
      </c>
      <c r="C26" s="44">
        <v>2338.085</v>
      </c>
      <c r="D26" s="44">
        <f>(13492.7*2204.622)/1000000</f>
        <v>29.746303259399998</v>
      </c>
      <c r="E26" s="44">
        <f t="shared" ref="E26" si="6">SUM(B26:D26)</f>
        <v>4358.9793032593998</v>
      </c>
      <c r="F26" s="59"/>
      <c r="G26" s="59">
        <f t="shared" ref="G26" si="7">K26-J26</f>
        <v>2242.1190449107999</v>
      </c>
      <c r="H26" s="44" t="s">
        <v>75</v>
      </c>
      <c r="I26" s="44" t="s">
        <v>75</v>
      </c>
      <c r="J26" s="44">
        <f>(10471.3*2204.622)/1000000</f>
        <v>23.085258348599996</v>
      </c>
      <c r="K26" s="44">
        <f t="shared" ref="K26" si="8">E26-L26</f>
        <v>2265.2043032593997</v>
      </c>
      <c r="L26" s="59">
        <f>1640.326+453.449</f>
        <v>2093.7750000000001</v>
      </c>
      <c r="N26"/>
    </row>
    <row r="27" spans="1:14" ht="16.2">
      <c r="A27" s="54" t="s">
        <v>76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4" ht="14.4">
      <c r="A28" s="17" t="s">
        <v>68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4" ht="13.8">
      <c r="A29" s="23" t="s">
        <v>56</v>
      </c>
      <c r="B29" s="46">
        <f>Contents!A16</f>
        <v>44908</v>
      </c>
      <c r="K29" s="43"/>
    </row>
    <row r="30" spans="1:14">
      <c r="E30" s="43"/>
    </row>
  </sheetData>
  <mergeCells count="3">
    <mergeCell ref="B5:L5"/>
    <mergeCell ref="G2:I2"/>
    <mergeCell ref="B2:E2"/>
  </mergeCells>
  <phoneticPr fontId="20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09375" defaultRowHeight="13.2"/>
  <cols>
    <col min="1" max="1" width="15.33203125" style="16" customWidth="1"/>
    <col min="2" max="2" width="13.109375" style="16" customWidth="1"/>
    <col min="3" max="3" width="12.109375" style="16" customWidth="1"/>
    <col min="4" max="4" width="13.44140625" style="16" customWidth="1"/>
    <col min="5" max="5" width="15.33203125" style="16" customWidth="1"/>
    <col min="6" max="6" width="11.44140625" style="16" customWidth="1"/>
    <col min="7" max="7" width="11.6640625" style="16" customWidth="1"/>
    <col min="8" max="8" width="8.6640625" style="16" customWidth="1"/>
    <col min="9" max="9" width="9.6640625" style="16" customWidth="1"/>
    <col min="10" max="11" width="7.6640625" style="16" customWidth="1"/>
    <col min="12" max="12" width="8.5546875" style="16" customWidth="1"/>
    <col min="13" max="13" width="9.5546875" style="16" customWidth="1"/>
    <col min="14" max="15" width="7.5546875" style="16" customWidth="1"/>
    <col min="16" max="18" width="9.109375" style="16"/>
    <col min="19" max="19" width="17.44140625" style="16" bestFit="1" customWidth="1"/>
    <col min="20" max="20" width="9.109375" style="16"/>
    <col min="21" max="21" width="28.33203125" style="16" bestFit="1" customWidth="1"/>
    <col min="22" max="16384" width="9.109375" style="16"/>
  </cols>
  <sheetData>
    <row r="1" spans="1:15" ht="13.8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7"/>
      <c r="M1" s="17"/>
      <c r="N1" s="17"/>
      <c r="O1" s="17"/>
    </row>
    <row r="2" spans="1:15" ht="13.8">
      <c r="A2" s="17"/>
      <c r="B2" s="200" t="s">
        <v>57</v>
      </c>
      <c r="C2" s="200"/>
      <c r="D2" s="200"/>
      <c r="E2" s="200"/>
      <c r="F2" s="90"/>
      <c r="G2" s="200" t="s">
        <v>58</v>
      </c>
      <c r="H2" s="200"/>
      <c r="I2" s="200"/>
      <c r="J2" s="200"/>
      <c r="K2" s="90"/>
      <c r="L2" s="17"/>
      <c r="M2" s="17"/>
      <c r="N2" s="17"/>
      <c r="O2" s="17"/>
    </row>
    <row r="3" spans="1:15" ht="13.8">
      <c r="A3" s="17" t="s">
        <v>17</v>
      </c>
      <c r="B3" s="23" t="s">
        <v>69</v>
      </c>
      <c r="C3" s="23"/>
      <c r="D3" s="23"/>
      <c r="E3" s="23"/>
      <c r="F3" s="91"/>
      <c r="G3" s="23"/>
      <c r="H3" s="23"/>
      <c r="I3" s="23"/>
      <c r="J3" s="23"/>
      <c r="K3" s="19" t="s">
        <v>59</v>
      </c>
      <c r="L3" s="17"/>
      <c r="M3" s="17"/>
      <c r="N3" s="17"/>
      <c r="O3" s="17"/>
    </row>
    <row r="4" spans="1:15" ht="13.8">
      <c r="A4" s="24" t="s">
        <v>77</v>
      </c>
      <c r="B4" s="26" t="s">
        <v>78</v>
      </c>
      <c r="C4" s="73" t="s">
        <v>26</v>
      </c>
      <c r="D4" s="28" t="s">
        <v>70</v>
      </c>
      <c r="E4" s="26" t="s">
        <v>79</v>
      </c>
      <c r="F4" s="27"/>
      <c r="G4" s="26" t="s">
        <v>80</v>
      </c>
      <c r="H4" s="26" t="s">
        <v>30</v>
      </c>
      <c r="I4" s="26" t="s">
        <v>81</v>
      </c>
      <c r="J4" s="26" t="s">
        <v>82</v>
      </c>
      <c r="K4" s="26" t="s">
        <v>61</v>
      </c>
      <c r="L4" s="17"/>
      <c r="M4" s="17"/>
      <c r="N4" s="17"/>
      <c r="O4" s="17"/>
    </row>
    <row r="5" spans="1:15" ht="14.4">
      <c r="A5" s="17"/>
      <c r="B5" s="205" t="s">
        <v>83</v>
      </c>
      <c r="C5" s="205"/>
      <c r="D5" s="205"/>
      <c r="E5" s="205"/>
      <c r="F5" s="205"/>
      <c r="G5" s="205"/>
      <c r="H5" s="205"/>
      <c r="I5" s="205"/>
      <c r="J5" s="205"/>
      <c r="K5" s="205"/>
      <c r="L5" s="17"/>
      <c r="M5" s="17"/>
      <c r="N5" s="17"/>
      <c r="O5" s="17"/>
    </row>
    <row r="6" spans="1:15" ht="13.8">
      <c r="A6" s="21" t="s">
        <v>34</v>
      </c>
      <c r="B6" s="93">
        <v>456.0068619717149</v>
      </c>
      <c r="C6" s="93">
        <v>4468</v>
      </c>
      <c r="D6" s="94">
        <v>1</v>
      </c>
      <c r="E6" s="93">
        <f>B6+C6+D6</f>
        <v>4925.0068619717149</v>
      </c>
      <c r="F6" s="95"/>
      <c r="G6" s="93">
        <v>1562.7429999999999</v>
      </c>
      <c r="H6" s="96">
        <v>279.55399999999997</v>
      </c>
      <c r="I6" s="93">
        <f>J6-G6-H6</f>
        <v>2687.0673090269106</v>
      </c>
      <c r="J6" s="93">
        <f>E6-K6</f>
        <v>4529.3643090269106</v>
      </c>
      <c r="K6" s="93">
        <v>395.64255294480427</v>
      </c>
      <c r="L6" s="17"/>
      <c r="M6" s="17"/>
      <c r="N6" s="17"/>
      <c r="O6" s="17"/>
    </row>
    <row r="7" spans="1:15" ht="16.2">
      <c r="A7" s="21" t="s">
        <v>35</v>
      </c>
      <c r="B7" s="93">
        <f>K6</f>
        <v>395.64255294480427</v>
      </c>
      <c r="C7" s="93">
        <v>5323</v>
      </c>
      <c r="D7" s="94">
        <v>24.765738432900992</v>
      </c>
      <c r="E7" s="93">
        <f>B7+C7+D7</f>
        <v>5743.4082913777056</v>
      </c>
      <c r="F7" s="95"/>
      <c r="G7" s="93">
        <v>1556.9839999999999</v>
      </c>
      <c r="H7" s="96">
        <v>297.69790855776995</v>
      </c>
      <c r="I7" s="93">
        <f>J7-G7-H7</f>
        <v>3493.8003828199353</v>
      </c>
      <c r="J7" s="93">
        <f>E7-K7</f>
        <v>5348.4822913777052</v>
      </c>
      <c r="K7" s="93">
        <v>394.92599999999999</v>
      </c>
      <c r="L7" s="17"/>
      <c r="M7" s="17"/>
      <c r="N7" s="17"/>
      <c r="O7" s="17"/>
    </row>
    <row r="8" spans="1:15" ht="16.2">
      <c r="A8" s="15" t="s">
        <v>36</v>
      </c>
      <c r="B8" s="97">
        <f>K7</f>
        <v>394.92599999999999</v>
      </c>
      <c r="C8" s="97">
        <v>4323</v>
      </c>
      <c r="D8" s="98">
        <v>30</v>
      </c>
      <c r="E8" s="97">
        <f>B8+C8+D8</f>
        <v>4747.9260000000004</v>
      </c>
      <c r="F8" s="99"/>
      <c r="G8" s="97">
        <v>1543</v>
      </c>
      <c r="H8" s="100">
        <v>225</v>
      </c>
      <c r="I8" s="97">
        <f>J8-G8-H8</f>
        <v>2589</v>
      </c>
      <c r="J8" s="97">
        <f>E8-K8</f>
        <v>4357</v>
      </c>
      <c r="K8" s="97">
        <v>390.92599999999999</v>
      </c>
      <c r="L8" s="17"/>
      <c r="M8" s="17"/>
      <c r="N8" s="17"/>
      <c r="O8" s="17"/>
    </row>
    <row r="9" spans="1:15" ht="16.2">
      <c r="A9" s="54" t="s">
        <v>84</v>
      </c>
      <c r="B9" s="17"/>
      <c r="C9" s="92"/>
      <c r="D9" s="92"/>
      <c r="E9" s="92"/>
      <c r="F9" s="92"/>
      <c r="G9" s="101"/>
      <c r="H9" s="92"/>
      <c r="I9" s="92"/>
      <c r="J9" s="92"/>
      <c r="K9" s="17"/>
      <c r="L9" s="17"/>
      <c r="M9" s="17"/>
      <c r="N9" s="17"/>
      <c r="O9" s="17"/>
    </row>
    <row r="10" spans="1:15" ht="14.4">
      <c r="A10" s="17" t="s">
        <v>85</v>
      </c>
      <c r="B10" s="36"/>
      <c r="C10" s="42"/>
      <c r="D10" s="17"/>
      <c r="E10" s="36"/>
      <c r="F10" s="36"/>
      <c r="G10" s="36"/>
      <c r="H10" s="36"/>
      <c r="I10" s="36"/>
      <c r="J10" s="36"/>
      <c r="K10" s="17"/>
      <c r="L10" s="17"/>
      <c r="M10" s="17"/>
      <c r="N10" s="17"/>
      <c r="O10" s="17"/>
    </row>
    <row r="11" spans="1:15" ht="14.4">
      <c r="A11" s="17" t="s">
        <v>86</v>
      </c>
      <c r="B11" s="36"/>
      <c r="C11" s="42"/>
      <c r="D11" s="17"/>
      <c r="E11" s="36"/>
      <c r="F11" s="36"/>
      <c r="G11" s="36"/>
      <c r="H11" s="36"/>
      <c r="I11" s="36"/>
      <c r="J11" s="36"/>
      <c r="K11" s="17"/>
      <c r="L11" s="17"/>
      <c r="M11" s="17"/>
      <c r="N11" s="17"/>
      <c r="O11" s="17"/>
    </row>
    <row r="12" spans="1:15" ht="13.8">
      <c r="A12" s="17"/>
      <c r="B12" s="36"/>
      <c r="C12" s="42"/>
      <c r="D12" s="17"/>
      <c r="E12" s="36"/>
      <c r="F12" s="36"/>
      <c r="G12" s="36"/>
      <c r="H12" s="36"/>
      <c r="I12" s="36"/>
      <c r="J12" s="36"/>
      <c r="K12" s="17"/>
      <c r="L12" s="17"/>
      <c r="M12" s="17"/>
      <c r="N12" s="17"/>
      <c r="O12" s="17"/>
    </row>
    <row r="13" spans="1:15" ht="13.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3.8">
      <c r="A14" s="15" t="s">
        <v>5</v>
      </c>
      <c r="B14" s="15"/>
      <c r="C14" s="15"/>
      <c r="D14" s="15"/>
      <c r="E14" s="15"/>
      <c r="F14" s="15"/>
      <c r="G14" s="15"/>
      <c r="H14" s="15"/>
      <c r="I14" s="17"/>
      <c r="J14" s="15"/>
      <c r="K14" s="17"/>
      <c r="L14" s="17"/>
      <c r="M14" s="17"/>
      <c r="N14" s="17"/>
      <c r="O14" s="17"/>
    </row>
    <row r="15" spans="1:15" ht="13.8">
      <c r="A15" s="17"/>
      <c r="B15" s="200" t="s">
        <v>57</v>
      </c>
      <c r="C15" s="200"/>
      <c r="D15" s="200"/>
      <c r="E15" s="200"/>
      <c r="F15" s="17"/>
      <c r="G15" s="200" t="s">
        <v>58</v>
      </c>
      <c r="H15" s="200"/>
      <c r="I15" s="200"/>
      <c r="J15" s="17"/>
      <c r="K15" s="17"/>
      <c r="L15" s="17"/>
      <c r="M15" s="17"/>
      <c r="N15" s="17"/>
      <c r="O15" s="17"/>
    </row>
    <row r="16" spans="1:15" ht="13.8">
      <c r="A16" s="17" t="s">
        <v>17</v>
      </c>
      <c r="B16" s="19" t="s">
        <v>69</v>
      </c>
      <c r="C16" s="23"/>
      <c r="D16" s="23"/>
      <c r="E16" s="23"/>
      <c r="F16" s="23"/>
      <c r="G16" s="23"/>
      <c r="H16" s="23"/>
      <c r="I16" s="23"/>
      <c r="J16" s="19" t="s">
        <v>59</v>
      </c>
      <c r="K16" s="17"/>
      <c r="L16" s="17"/>
      <c r="M16" s="17"/>
      <c r="N16" s="17"/>
      <c r="O16" s="17"/>
    </row>
    <row r="17" spans="1:15" ht="13.8">
      <c r="A17" s="24" t="s">
        <v>60</v>
      </c>
      <c r="B17" s="26" t="s">
        <v>61</v>
      </c>
      <c r="C17" s="73" t="s">
        <v>26</v>
      </c>
      <c r="D17" s="28" t="s">
        <v>70</v>
      </c>
      <c r="E17" s="26" t="s">
        <v>82</v>
      </c>
      <c r="F17" s="27"/>
      <c r="G17" s="93" t="s">
        <v>87</v>
      </c>
      <c r="H17" s="26" t="s">
        <v>30</v>
      </c>
      <c r="I17" s="28" t="s">
        <v>62</v>
      </c>
      <c r="J17" s="26" t="s">
        <v>61</v>
      </c>
      <c r="K17" s="17"/>
      <c r="L17" s="17"/>
      <c r="M17" s="17"/>
      <c r="N17" s="17"/>
      <c r="O17" s="17"/>
    </row>
    <row r="18" spans="1:15" ht="14.4">
      <c r="A18" s="17"/>
      <c r="B18" s="205" t="s">
        <v>88</v>
      </c>
      <c r="C18" s="205"/>
      <c r="D18" s="205"/>
      <c r="E18" s="205"/>
      <c r="F18" s="205"/>
      <c r="G18" s="205"/>
      <c r="H18" s="205"/>
      <c r="I18" s="205"/>
      <c r="J18" s="205"/>
      <c r="K18" s="17"/>
      <c r="L18" s="17"/>
      <c r="M18" s="17"/>
      <c r="N18" s="17"/>
      <c r="O18" s="17"/>
    </row>
    <row r="19" spans="1:15" ht="13.8">
      <c r="A19" s="21" t="s">
        <v>34</v>
      </c>
      <c r="B19" s="93">
        <v>24.872</v>
      </c>
      <c r="C19" s="96">
        <v>648.57100000000003</v>
      </c>
      <c r="D19" s="94">
        <v>0</v>
      </c>
      <c r="E19" s="96">
        <f>B19+C19+D19</f>
        <v>673.44299999999998</v>
      </c>
      <c r="F19" s="95"/>
      <c r="G19" s="96">
        <v>573.37699999999995</v>
      </c>
      <c r="H19" s="96">
        <v>60.759509638330982</v>
      </c>
      <c r="I19" s="96">
        <f>SUM(G19:H19)</f>
        <v>634.13650963833095</v>
      </c>
      <c r="J19" s="93">
        <v>39.305999999999997</v>
      </c>
      <c r="K19" s="17"/>
      <c r="L19" s="17"/>
      <c r="M19" s="17"/>
      <c r="N19" s="17"/>
      <c r="O19" s="17"/>
    </row>
    <row r="20" spans="1:15" ht="16.2">
      <c r="A20" s="21" t="s">
        <v>35</v>
      </c>
      <c r="B20" s="93">
        <f>J19</f>
        <v>39.305999999999997</v>
      </c>
      <c r="C20" s="96">
        <v>695</v>
      </c>
      <c r="D20" s="158">
        <v>0.10141264051999997</v>
      </c>
      <c r="E20" s="96">
        <f>B20+C20+D20</f>
        <v>734.40741264052008</v>
      </c>
      <c r="F20" s="95"/>
      <c r="G20" s="96">
        <f>E20-J20-H20</f>
        <v>658.743182863843</v>
      </c>
      <c r="H20" s="96">
        <v>53.348229776676988</v>
      </c>
      <c r="I20" s="96">
        <f>SUM(G20:H20)</f>
        <v>712.09141264052005</v>
      </c>
      <c r="J20" s="93">
        <v>22.315999999999999</v>
      </c>
      <c r="K20" s="17"/>
      <c r="L20" s="17"/>
      <c r="M20" s="17"/>
      <c r="N20" s="17"/>
      <c r="O20" s="17"/>
    </row>
    <row r="21" spans="1:15" ht="16.2">
      <c r="A21" s="15" t="s">
        <v>36</v>
      </c>
      <c r="B21" s="97">
        <f>J20</f>
        <v>22.315999999999999</v>
      </c>
      <c r="C21" s="100">
        <v>685</v>
      </c>
      <c r="D21" s="98">
        <v>0</v>
      </c>
      <c r="E21" s="100">
        <f>B21+C21+D21</f>
        <v>707.31600000000003</v>
      </c>
      <c r="F21" s="99"/>
      <c r="G21" s="100">
        <f>E21-J21-H21</f>
        <v>607.31600000000003</v>
      </c>
      <c r="H21" s="100">
        <v>60</v>
      </c>
      <c r="I21" s="100">
        <f>SUM(G21:H21)</f>
        <v>667.31600000000003</v>
      </c>
      <c r="J21" s="97">
        <v>40</v>
      </c>
      <c r="K21" s="17"/>
      <c r="L21" s="17"/>
      <c r="M21" s="17"/>
      <c r="N21" s="17"/>
      <c r="O21" s="17"/>
    </row>
    <row r="22" spans="1:15" ht="16.2">
      <c r="A22" s="54" t="s">
        <v>84</v>
      </c>
      <c r="B22" s="17"/>
      <c r="C22" s="92"/>
      <c r="D22" s="92"/>
      <c r="E22" s="92"/>
      <c r="F22" s="92"/>
      <c r="G22" s="92"/>
      <c r="H22" s="92"/>
      <c r="I22" s="17"/>
      <c r="J22" s="17"/>
      <c r="K22" s="17"/>
      <c r="L22" s="17"/>
      <c r="M22" s="17"/>
      <c r="N22" s="17"/>
      <c r="O22" s="17"/>
    </row>
    <row r="23" spans="1:15" ht="14.4">
      <c r="A23" s="17" t="s">
        <v>89</v>
      </c>
      <c r="B23" s="95"/>
      <c r="C23" s="95"/>
      <c r="D23" s="95"/>
      <c r="E23" s="95"/>
      <c r="F23" s="95"/>
      <c r="G23" s="95"/>
      <c r="H23" s="95"/>
      <c r="I23" s="17"/>
      <c r="J23" s="17"/>
      <c r="K23" s="17"/>
      <c r="L23" s="17"/>
      <c r="M23" s="17"/>
      <c r="N23" s="17"/>
      <c r="O23" s="17"/>
    </row>
    <row r="24" spans="1:15" ht="13.8">
      <c r="A24" s="21"/>
      <c r="B24" s="36"/>
      <c r="C24" s="36"/>
      <c r="D24" s="36"/>
      <c r="E24" s="36"/>
      <c r="F24" s="36"/>
      <c r="G24" s="36"/>
      <c r="H24" s="36"/>
      <c r="I24" s="17"/>
      <c r="J24" s="17"/>
      <c r="K24" s="17"/>
      <c r="L24" s="17"/>
      <c r="M24" s="17"/>
      <c r="N24" s="17"/>
      <c r="O24" s="17"/>
    </row>
    <row r="25" spans="1:15" ht="13.8">
      <c r="A25" s="21"/>
      <c r="B25" s="36"/>
      <c r="C25" s="42"/>
      <c r="D25" s="36"/>
      <c r="E25" s="36"/>
      <c r="F25" s="36"/>
      <c r="G25" s="36"/>
      <c r="H25" s="36"/>
      <c r="I25" s="17"/>
      <c r="J25" s="17"/>
      <c r="K25" s="17"/>
      <c r="L25" s="17"/>
      <c r="M25" s="17"/>
      <c r="N25" s="17"/>
      <c r="O25" s="17"/>
    </row>
    <row r="26" spans="1:15" ht="13.8">
      <c r="A26" s="15" t="s">
        <v>6</v>
      </c>
      <c r="B26" s="15"/>
      <c r="C26" s="15"/>
      <c r="D26" s="15"/>
      <c r="E26" s="15"/>
      <c r="F26" s="15"/>
      <c r="G26" s="15"/>
      <c r="H26" s="15"/>
      <c r="I26" s="17"/>
      <c r="J26" s="15"/>
      <c r="K26" s="17"/>
      <c r="L26" s="17"/>
      <c r="M26" s="17"/>
      <c r="N26" s="17"/>
      <c r="O26" s="17"/>
    </row>
    <row r="27" spans="1:15" ht="13.8">
      <c r="A27" s="17"/>
      <c r="B27" s="200" t="s">
        <v>57</v>
      </c>
      <c r="C27" s="200"/>
      <c r="D27" s="200"/>
      <c r="E27" s="200"/>
      <c r="F27" s="17"/>
      <c r="G27" s="200" t="s">
        <v>58</v>
      </c>
      <c r="H27" s="200"/>
      <c r="I27" s="200"/>
      <c r="J27" s="17"/>
      <c r="K27" s="17"/>
      <c r="L27" s="17"/>
      <c r="M27" s="17"/>
      <c r="N27" s="17"/>
      <c r="O27" s="17"/>
    </row>
    <row r="28" spans="1:15" ht="13.8">
      <c r="A28" s="17" t="s">
        <v>17</v>
      </c>
      <c r="B28" s="19" t="s">
        <v>69</v>
      </c>
      <c r="C28" s="23"/>
      <c r="D28" s="23"/>
      <c r="E28" s="23"/>
      <c r="F28" s="23"/>
      <c r="G28" s="23"/>
      <c r="H28" s="23"/>
      <c r="I28" s="23"/>
      <c r="J28" s="19" t="s">
        <v>59</v>
      </c>
      <c r="K28" s="17"/>
      <c r="L28" s="17"/>
      <c r="M28" s="17"/>
      <c r="N28" s="17"/>
      <c r="O28" s="17"/>
    </row>
    <row r="29" spans="1:15" ht="13.8">
      <c r="A29" s="24" t="s">
        <v>60</v>
      </c>
      <c r="B29" s="26" t="s">
        <v>61</v>
      </c>
      <c r="C29" s="26" t="s">
        <v>26</v>
      </c>
      <c r="D29" s="28" t="s">
        <v>70</v>
      </c>
      <c r="E29" s="26" t="s">
        <v>82</v>
      </c>
      <c r="F29" s="27"/>
      <c r="G29" s="26" t="s">
        <v>63</v>
      </c>
      <c r="H29" s="26" t="s">
        <v>30</v>
      </c>
      <c r="I29" s="26" t="s">
        <v>62</v>
      </c>
      <c r="J29" s="26" t="s">
        <v>65</v>
      </c>
      <c r="K29" s="17"/>
      <c r="L29" s="17"/>
      <c r="M29" s="17"/>
      <c r="N29" s="17"/>
      <c r="O29" s="17"/>
    </row>
    <row r="30" spans="1:15" ht="14.4">
      <c r="A30" s="17"/>
      <c r="B30" s="205" t="s">
        <v>90</v>
      </c>
      <c r="C30" s="205"/>
      <c r="D30" s="205"/>
      <c r="E30" s="205"/>
      <c r="F30" s="205"/>
      <c r="G30" s="205"/>
      <c r="H30" s="205"/>
      <c r="I30" s="205"/>
      <c r="J30" s="205"/>
      <c r="K30" s="17"/>
      <c r="L30" s="17"/>
      <c r="M30" s="17"/>
      <c r="N30" s="17"/>
      <c r="O30" s="17"/>
    </row>
    <row r="31" spans="1:15" ht="13.8">
      <c r="A31" s="21" t="s">
        <v>34</v>
      </c>
      <c r="B31" s="94">
        <v>44.537999999999997</v>
      </c>
      <c r="C31" s="96">
        <v>399.91800000000001</v>
      </c>
      <c r="D31" s="94">
        <v>21.365218272682</v>
      </c>
      <c r="E31" s="102">
        <f>B31+C31+D31</f>
        <v>465.82121827268202</v>
      </c>
      <c r="F31" s="95"/>
      <c r="G31" s="96">
        <f>I31-H31</f>
        <v>354.93667903513006</v>
      </c>
      <c r="H31" s="96">
        <v>62.676539237551999</v>
      </c>
      <c r="I31" s="96">
        <f>E31-J31</f>
        <v>417.61321827268205</v>
      </c>
      <c r="J31" s="96">
        <v>48.207999999999998</v>
      </c>
      <c r="K31" s="17"/>
      <c r="L31" s="17"/>
      <c r="M31" s="17"/>
      <c r="N31" s="17"/>
      <c r="O31" s="17"/>
    </row>
    <row r="32" spans="1:15" ht="16.2">
      <c r="A32" s="21" t="s">
        <v>35</v>
      </c>
      <c r="B32" s="94">
        <f>J31</f>
        <v>48.207999999999998</v>
      </c>
      <c r="C32" s="96">
        <v>430</v>
      </c>
      <c r="D32" s="94">
        <v>24.878284417651997</v>
      </c>
      <c r="E32" s="102">
        <f>B32+C32+D32</f>
        <v>503.086284417652</v>
      </c>
      <c r="F32" s="95"/>
      <c r="G32" s="96">
        <f>I32-H32</f>
        <v>325.59072038149202</v>
      </c>
      <c r="H32" s="96">
        <v>127.79756403616</v>
      </c>
      <c r="I32" s="96">
        <f>E32-J32</f>
        <v>453.38828441765202</v>
      </c>
      <c r="J32" s="96">
        <v>49.698</v>
      </c>
      <c r="K32" s="17"/>
      <c r="L32" s="17"/>
      <c r="M32" s="17"/>
      <c r="N32" s="17"/>
      <c r="O32" s="17"/>
    </row>
    <row r="33" spans="1:17" ht="16.2">
      <c r="A33" s="15" t="s">
        <v>36</v>
      </c>
      <c r="B33" s="98">
        <f>J32</f>
        <v>49.698</v>
      </c>
      <c r="C33" s="100">
        <v>415</v>
      </c>
      <c r="D33" s="98">
        <v>20</v>
      </c>
      <c r="E33" s="103">
        <f>B33+C33+D33</f>
        <v>484.69799999999998</v>
      </c>
      <c r="F33" s="99"/>
      <c r="G33" s="100">
        <f>I33-H33</f>
        <v>369.69799999999998</v>
      </c>
      <c r="H33" s="100">
        <v>65</v>
      </c>
      <c r="I33" s="100">
        <f>E33-J33</f>
        <v>434.69799999999998</v>
      </c>
      <c r="J33" s="100">
        <v>50</v>
      </c>
      <c r="K33" s="17"/>
      <c r="L33" s="17"/>
      <c r="M33" s="17"/>
      <c r="N33" s="17"/>
      <c r="O33" s="17"/>
    </row>
    <row r="34" spans="1:17" ht="16.2">
      <c r="A34" s="54" t="s">
        <v>84</v>
      </c>
      <c r="B34" s="17"/>
      <c r="C34" s="92"/>
      <c r="D34" s="92"/>
      <c r="E34" s="92"/>
      <c r="F34" s="92"/>
      <c r="G34" s="92"/>
      <c r="H34" s="92"/>
      <c r="I34" s="17"/>
      <c r="J34" s="17"/>
      <c r="K34" s="17"/>
      <c r="L34" s="17"/>
      <c r="M34" s="17"/>
      <c r="N34" s="17"/>
      <c r="O34" s="17"/>
    </row>
    <row r="35" spans="1:17" ht="14.4">
      <c r="A35" s="17" t="s">
        <v>89</v>
      </c>
      <c r="B35" s="36"/>
      <c r="C35" s="42"/>
      <c r="D35" s="36"/>
      <c r="E35" s="36"/>
      <c r="F35" s="36"/>
      <c r="G35" s="36"/>
      <c r="H35" s="36"/>
      <c r="I35" s="17"/>
      <c r="J35" s="17"/>
      <c r="K35" s="17"/>
      <c r="L35" s="17"/>
      <c r="M35" s="17"/>
      <c r="N35" s="17"/>
      <c r="O35" s="17"/>
    </row>
    <row r="36" spans="1:17" ht="13.8">
      <c r="A36" s="21"/>
      <c r="B36" s="21"/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</row>
    <row r="37" spans="1:17" ht="13.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7" ht="13.8">
      <c r="A38" s="15" t="s">
        <v>7</v>
      </c>
      <c r="B38" s="15"/>
      <c r="C38" s="15"/>
      <c r="D38" s="15"/>
      <c r="E38" s="15"/>
      <c r="F38" s="15"/>
      <c r="G38" s="15"/>
      <c r="H38" s="15"/>
      <c r="I38" s="15"/>
      <c r="J38" s="17"/>
      <c r="K38" s="17"/>
      <c r="L38" s="17"/>
      <c r="M38" s="17"/>
      <c r="N38" s="17"/>
      <c r="O38" s="17"/>
    </row>
    <row r="39" spans="1:17" ht="13.8">
      <c r="A39" s="17"/>
      <c r="B39" s="200" t="s">
        <v>13</v>
      </c>
      <c r="C39" s="200"/>
      <c r="D39" s="19" t="s">
        <v>14</v>
      </c>
      <c r="E39" s="200" t="s">
        <v>15</v>
      </c>
      <c r="F39" s="200"/>
      <c r="G39" s="200"/>
      <c r="H39" s="200"/>
      <c r="I39" s="17"/>
      <c r="J39" s="200" t="s">
        <v>58</v>
      </c>
      <c r="K39" s="200"/>
      <c r="L39" s="200"/>
      <c r="M39" s="200"/>
      <c r="N39" s="200"/>
      <c r="O39" s="90"/>
    </row>
    <row r="40" spans="1:17" ht="13.8">
      <c r="A40" s="17" t="s">
        <v>17</v>
      </c>
      <c r="B40" s="19" t="s">
        <v>18</v>
      </c>
      <c r="C40" s="19" t="s">
        <v>19</v>
      </c>
      <c r="D40" s="17"/>
      <c r="E40" s="19" t="s">
        <v>69</v>
      </c>
      <c r="F40" s="19"/>
      <c r="G40" s="19"/>
      <c r="H40" s="19"/>
      <c r="I40" s="17"/>
      <c r="J40" s="104" t="s">
        <v>87</v>
      </c>
      <c r="K40" s="19"/>
      <c r="L40" s="19" t="s">
        <v>22</v>
      </c>
      <c r="M40" s="19"/>
      <c r="N40" s="19"/>
      <c r="O40" s="19" t="s">
        <v>59</v>
      </c>
    </row>
    <row r="41" spans="1:17" ht="13.8">
      <c r="A41" s="24" t="s">
        <v>77</v>
      </c>
      <c r="B41" s="25"/>
      <c r="C41" s="25"/>
      <c r="D41" s="25"/>
      <c r="E41" s="26" t="s">
        <v>61</v>
      </c>
      <c r="F41" s="26" t="s">
        <v>26</v>
      </c>
      <c r="G41" s="26" t="s">
        <v>70</v>
      </c>
      <c r="H41" s="26" t="s">
        <v>82</v>
      </c>
      <c r="I41" s="26"/>
      <c r="J41" s="26" t="s">
        <v>91</v>
      </c>
      <c r="K41" s="26" t="s">
        <v>80</v>
      </c>
      <c r="L41" s="26" t="s">
        <v>29</v>
      </c>
      <c r="M41" s="28" t="s">
        <v>30</v>
      </c>
      <c r="N41" s="26" t="s">
        <v>62</v>
      </c>
      <c r="O41" s="26" t="s">
        <v>65</v>
      </c>
    </row>
    <row r="42" spans="1:17" ht="14.4">
      <c r="A42" s="17"/>
      <c r="B42" s="203" t="s">
        <v>92</v>
      </c>
      <c r="C42" s="204"/>
      <c r="D42" s="105" t="s">
        <v>93</v>
      </c>
      <c r="E42" s="206" t="s">
        <v>94</v>
      </c>
      <c r="F42" s="205"/>
      <c r="G42" s="205"/>
      <c r="H42" s="205"/>
      <c r="I42" s="205"/>
      <c r="J42" s="205"/>
      <c r="K42" s="205"/>
      <c r="L42" s="205"/>
      <c r="M42" s="205"/>
      <c r="N42" s="205"/>
      <c r="O42" s="204"/>
    </row>
    <row r="43" spans="1:17" ht="13.8">
      <c r="A43" s="17"/>
      <c r="B43" s="19"/>
      <c r="C43" s="19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7" ht="13.8">
      <c r="A44" s="21" t="s">
        <v>34</v>
      </c>
      <c r="B44" s="93">
        <v>1662.5</v>
      </c>
      <c r="C44" s="93">
        <v>1615.2</v>
      </c>
      <c r="D44" s="93">
        <f>F44*1000/C44</f>
        <v>3812.7476473501733</v>
      </c>
      <c r="E44" s="93">
        <v>2118.1880000000001</v>
      </c>
      <c r="F44" s="93">
        <v>6158.35</v>
      </c>
      <c r="G44" s="96">
        <v>121.01600000000001</v>
      </c>
      <c r="H44" s="93">
        <f>SUM(E44:G44)</f>
        <v>8397.5540000000001</v>
      </c>
      <c r="I44" s="93"/>
      <c r="J44" s="93">
        <v>3356.6</v>
      </c>
      <c r="K44" s="93">
        <v>872.91017669999985</v>
      </c>
      <c r="L44" s="96">
        <f>N44-J44-K44-M44</f>
        <v>770.55533184840169</v>
      </c>
      <c r="M44" s="96">
        <v>1429.3264914515985</v>
      </c>
      <c r="N44" s="93">
        <f>H44-O44</f>
        <v>6429.3919999999998</v>
      </c>
      <c r="O44" s="93">
        <v>1968.162</v>
      </c>
    </row>
    <row r="45" spans="1:17" ht="16.2">
      <c r="A45" s="21" t="s">
        <v>35</v>
      </c>
      <c r="B45" s="93">
        <v>1580.2</v>
      </c>
      <c r="C45" s="93">
        <v>1540.1</v>
      </c>
      <c r="D45" s="93">
        <f>F45*1000/C45</f>
        <v>4130.4662034932799</v>
      </c>
      <c r="E45" s="93">
        <f>O44</f>
        <v>1968.162</v>
      </c>
      <c r="F45" s="93">
        <v>6361.3310000000001</v>
      </c>
      <c r="G45" s="96">
        <v>107.105</v>
      </c>
      <c r="H45" s="93">
        <f>SUM(E45:G45)</f>
        <v>8436.598</v>
      </c>
      <c r="I45" s="93"/>
      <c r="J45" s="93">
        <v>3313.1</v>
      </c>
      <c r="K45" s="93">
        <v>842.43200000000002</v>
      </c>
      <c r="L45" s="96">
        <f t="shared" ref="L45:L46" si="0">N45-J45-K45-M45</f>
        <v>738.31830540849705</v>
      </c>
      <c r="M45" s="96">
        <v>1182.4906945915034</v>
      </c>
      <c r="N45" s="93">
        <f>H45-O45</f>
        <v>6076.3410000000003</v>
      </c>
      <c r="O45" s="93">
        <v>2360.2570000000001</v>
      </c>
      <c r="P45" s="128"/>
    </row>
    <row r="46" spans="1:17" ht="16.2">
      <c r="A46" s="15" t="s">
        <v>36</v>
      </c>
      <c r="B46" s="97">
        <v>1459.1</v>
      </c>
      <c r="C46" s="97">
        <v>1411.1</v>
      </c>
      <c r="D46" s="97">
        <f>F46*1000/C46</f>
        <v>4089.7172418680466</v>
      </c>
      <c r="E46" s="97">
        <f>O45</f>
        <v>2360.2570000000001</v>
      </c>
      <c r="F46" s="97">
        <v>5771</v>
      </c>
      <c r="G46" s="100">
        <v>110</v>
      </c>
      <c r="H46" s="97">
        <f>SUM(E46:G46)</f>
        <v>8241.2569999999996</v>
      </c>
      <c r="I46" s="97"/>
      <c r="J46" s="97">
        <v>3381.01</v>
      </c>
      <c r="K46" s="97">
        <v>807.94</v>
      </c>
      <c r="L46" s="100">
        <f t="shared" si="0"/>
        <v>747.60134944399988</v>
      </c>
      <c r="M46" s="100">
        <v>1200</v>
      </c>
      <c r="N46" s="97">
        <f>H46-O46</f>
        <v>6136.5513494440002</v>
      </c>
      <c r="O46" s="97">
        <v>2104.7056505559995</v>
      </c>
      <c r="P46" s="128"/>
      <c r="Q46" s="128"/>
    </row>
    <row r="47" spans="1:17" ht="16.2">
      <c r="A47" s="54" t="s">
        <v>84</v>
      </c>
      <c r="B47" s="17"/>
      <c r="C47" s="92"/>
      <c r="D47" s="92"/>
      <c r="E47" s="92"/>
      <c r="F47" s="92"/>
      <c r="G47" s="92"/>
      <c r="H47" s="92"/>
      <c r="I47" s="17"/>
      <c r="J47" s="17"/>
      <c r="K47" s="17"/>
      <c r="L47" s="17"/>
      <c r="M47" s="17"/>
      <c r="N47" s="17"/>
      <c r="O47" s="17"/>
    </row>
    <row r="48" spans="1:17" ht="14.4">
      <c r="A48" s="17" t="s">
        <v>95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4.4">
      <c r="A49" s="17" t="s">
        <v>86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3.8">
      <c r="A50" s="23" t="s">
        <v>56</v>
      </c>
      <c r="B50" s="106">
        <f>Contents!A16</f>
        <v>44908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44.4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15" ht="15.6">
      <c r="G52" s="79"/>
      <c r="H52" s="79"/>
    </row>
    <row r="53" spans="1:15" ht="15.6">
      <c r="G53" s="79"/>
      <c r="H53" s="79"/>
    </row>
    <row r="54" spans="1:15" ht="15.6">
      <c r="G54" s="79"/>
      <c r="H54" s="79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20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39"/>
  <sheetViews>
    <sheetView showGridLines="0" zoomScale="70" zoomScaleNormal="70" workbookViewId="0">
      <selection activeCell="F3" sqref="F3"/>
    </sheetView>
  </sheetViews>
  <sheetFormatPr defaultColWidth="9.109375" defaultRowHeight="13.2"/>
  <cols>
    <col min="1" max="1" width="11.6640625" style="16" customWidth="1"/>
    <col min="2" max="2" width="18.88671875" style="16" bestFit="1" customWidth="1"/>
    <col min="3" max="3" width="22.109375" style="16" bestFit="1" customWidth="1"/>
    <col min="4" max="5" width="25.6640625" style="16" bestFit="1" customWidth="1"/>
    <col min="6" max="6" width="16.6640625" style="16" bestFit="1" customWidth="1"/>
    <col min="7" max="7" width="18.88671875" style="16" bestFit="1" customWidth="1"/>
    <col min="8" max="16384" width="9.109375" style="16"/>
  </cols>
  <sheetData>
    <row r="1" spans="1:8" ht="15.6" customHeight="1">
      <c r="A1" s="15" t="s">
        <v>8</v>
      </c>
      <c r="B1" s="15"/>
      <c r="C1" s="15"/>
      <c r="D1" s="15"/>
      <c r="E1" s="15"/>
      <c r="F1" s="15"/>
      <c r="G1" s="15"/>
      <c r="H1" s="55"/>
    </row>
    <row r="2" spans="1:8" ht="15.6" customHeight="1">
      <c r="A2" s="21" t="s">
        <v>96</v>
      </c>
      <c r="B2" s="38" t="s">
        <v>97</v>
      </c>
      <c r="C2" s="38" t="s">
        <v>98</v>
      </c>
      <c r="D2" s="38" t="s">
        <v>99</v>
      </c>
      <c r="E2" s="38" t="s">
        <v>100</v>
      </c>
      <c r="F2" s="38" t="s">
        <v>101</v>
      </c>
      <c r="G2" s="38" t="s">
        <v>102</v>
      </c>
      <c r="H2" s="55"/>
    </row>
    <row r="3" spans="1:8" ht="15.6" customHeight="1">
      <c r="A3" s="15" t="s">
        <v>103</v>
      </c>
      <c r="B3" s="27"/>
      <c r="C3" s="60"/>
      <c r="D3" s="60"/>
      <c r="E3" s="60"/>
      <c r="F3" s="60"/>
      <c r="G3" s="60"/>
      <c r="H3" s="55"/>
    </row>
    <row r="4" spans="1:8" ht="14.4">
      <c r="A4" s="61"/>
      <c r="B4" s="62" t="s">
        <v>104</v>
      </c>
      <c r="C4" s="62" t="s">
        <v>105</v>
      </c>
      <c r="D4" s="62" t="s">
        <v>106</v>
      </c>
      <c r="E4" s="62" t="s">
        <v>106</v>
      </c>
      <c r="F4" s="62" t="s">
        <v>107</v>
      </c>
      <c r="G4" s="62" t="s">
        <v>104</v>
      </c>
      <c r="H4" s="55"/>
    </row>
    <row r="5" spans="1:8" ht="13.8">
      <c r="A5" s="17"/>
      <c r="B5" s="17"/>
      <c r="C5" s="17"/>
      <c r="D5" s="19"/>
      <c r="E5" s="17"/>
      <c r="F5" s="17"/>
      <c r="G5" s="17"/>
      <c r="H5" s="55"/>
    </row>
    <row r="6" spans="1:8" ht="13.8">
      <c r="A6" s="17" t="s">
        <v>108</v>
      </c>
      <c r="B6" s="63">
        <v>11.3</v>
      </c>
      <c r="C6" s="63">
        <v>161</v>
      </c>
      <c r="D6" s="63">
        <v>23.3</v>
      </c>
      <c r="E6" s="63">
        <v>19.3</v>
      </c>
      <c r="F6" s="63">
        <v>22.5</v>
      </c>
      <c r="G6" s="63">
        <v>12.2</v>
      </c>
      <c r="H6" s="55"/>
    </row>
    <row r="7" spans="1:8" ht="13.8">
      <c r="A7" s="17" t="s">
        <v>109</v>
      </c>
      <c r="B7" s="63">
        <v>12.5</v>
      </c>
      <c r="C7" s="63">
        <v>260</v>
      </c>
      <c r="D7" s="63">
        <v>29.1</v>
      </c>
      <c r="E7" s="63">
        <v>24</v>
      </c>
      <c r="F7" s="63">
        <v>31.8</v>
      </c>
      <c r="G7" s="63">
        <v>13.9</v>
      </c>
      <c r="H7" s="55"/>
    </row>
    <row r="8" spans="1:8" ht="13.8">
      <c r="A8" s="17" t="s">
        <v>110</v>
      </c>
      <c r="B8" s="63">
        <v>14.4</v>
      </c>
      <c r="C8" s="63">
        <v>252</v>
      </c>
      <c r="D8" s="63">
        <v>25.4</v>
      </c>
      <c r="E8" s="63">
        <v>26.5</v>
      </c>
      <c r="F8" s="63">
        <v>30.1</v>
      </c>
      <c r="G8" s="63">
        <v>13.8</v>
      </c>
      <c r="H8" s="55"/>
    </row>
    <row r="9" spans="1:8" ht="13.8">
      <c r="A9" s="17" t="s">
        <v>111</v>
      </c>
      <c r="B9" s="63">
        <v>13</v>
      </c>
      <c r="C9" s="63">
        <v>246</v>
      </c>
      <c r="D9" s="63">
        <v>21.4</v>
      </c>
      <c r="E9" s="63">
        <v>20.6</v>
      </c>
      <c r="F9" s="63">
        <v>24.9</v>
      </c>
      <c r="G9" s="63">
        <v>13.8</v>
      </c>
      <c r="H9" s="55"/>
    </row>
    <row r="10" spans="1:8" ht="13.8">
      <c r="A10" s="17" t="s">
        <v>112</v>
      </c>
      <c r="B10" s="63">
        <v>10.1</v>
      </c>
      <c r="C10" s="63">
        <v>194</v>
      </c>
      <c r="D10" s="63">
        <v>21.7</v>
      </c>
      <c r="E10" s="63">
        <v>16.899999999999999</v>
      </c>
      <c r="F10" s="63">
        <v>22</v>
      </c>
      <c r="G10" s="63">
        <v>11.8</v>
      </c>
      <c r="H10" s="55"/>
    </row>
    <row r="11" spans="1:8" ht="13.8">
      <c r="A11" s="17" t="s">
        <v>113</v>
      </c>
      <c r="B11" s="63">
        <v>8.9499999999999993</v>
      </c>
      <c r="C11" s="63">
        <v>227</v>
      </c>
      <c r="D11" s="63">
        <v>19.600000000000001</v>
      </c>
      <c r="E11" s="63">
        <v>15.6</v>
      </c>
      <c r="F11" s="63">
        <v>19.3</v>
      </c>
      <c r="G11" s="63">
        <v>8.9499999999999993</v>
      </c>
      <c r="H11" s="55"/>
    </row>
    <row r="12" spans="1:8" ht="13.8">
      <c r="A12" s="17" t="s">
        <v>114</v>
      </c>
      <c r="B12" s="63">
        <v>9.4700000000000006</v>
      </c>
      <c r="C12" s="63">
        <v>195</v>
      </c>
      <c r="D12" s="63">
        <v>17.399999999999999</v>
      </c>
      <c r="E12" s="63">
        <v>16.600000000000001</v>
      </c>
      <c r="F12" s="63">
        <v>19.7</v>
      </c>
      <c r="G12" s="63">
        <v>8</v>
      </c>
      <c r="H12" s="55"/>
    </row>
    <row r="13" spans="1:8" ht="13.8">
      <c r="A13" s="17" t="s">
        <v>115</v>
      </c>
      <c r="B13" s="63">
        <v>9.33</v>
      </c>
      <c r="C13" s="63">
        <v>142</v>
      </c>
      <c r="D13" s="63">
        <v>17.2</v>
      </c>
      <c r="E13" s="63">
        <v>17.5</v>
      </c>
      <c r="F13" s="63">
        <v>22.9</v>
      </c>
      <c r="G13" s="63">
        <v>9.5299999999999994</v>
      </c>
      <c r="H13" s="55"/>
    </row>
    <row r="14" spans="1:8" ht="13.8">
      <c r="A14" s="17" t="s">
        <v>116</v>
      </c>
      <c r="B14" s="63">
        <v>8.48</v>
      </c>
      <c r="C14" s="63">
        <v>155</v>
      </c>
      <c r="D14" s="63">
        <v>17.399999999999999</v>
      </c>
      <c r="E14" s="63">
        <v>15.8</v>
      </c>
      <c r="F14" s="63">
        <v>21.5</v>
      </c>
      <c r="G14" s="63">
        <v>9.89</v>
      </c>
      <c r="H14" s="55"/>
    </row>
    <row r="15" spans="1:8" ht="13.8">
      <c r="A15" s="17" t="s">
        <v>117</v>
      </c>
      <c r="B15" s="63">
        <v>8.57</v>
      </c>
      <c r="C15" s="63">
        <v>161</v>
      </c>
      <c r="D15" s="63">
        <v>19.5</v>
      </c>
      <c r="E15" s="63">
        <v>14.8</v>
      </c>
      <c r="F15" s="63">
        <v>20.5</v>
      </c>
      <c r="G15" s="63">
        <v>9.15</v>
      </c>
      <c r="H15" s="55"/>
    </row>
    <row r="16" spans="1:8" ht="13.8">
      <c r="A16" s="17" t="s">
        <v>34</v>
      </c>
      <c r="B16" s="63">
        <v>10.8</v>
      </c>
      <c r="C16" s="63">
        <v>194</v>
      </c>
      <c r="D16" s="63">
        <v>21.3</v>
      </c>
      <c r="E16" s="63">
        <v>18.400000000000002</v>
      </c>
      <c r="F16" s="63">
        <v>21</v>
      </c>
      <c r="G16" s="63">
        <v>11.1</v>
      </c>
      <c r="H16" s="55"/>
    </row>
    <row r="17" spans="1:8" ht="16.2">
      <c r="A17" s="17" t="s">
        <v>118</v>
      </c>
      <c r="B17" s="63">
        <v>13.3</v>
      </c>
      <c r="C17" s="63">
        <v>243</v>
      </c>
      <c r="D17" s="63">
        <v>32.9</v>
      </c>
      <c r="E17" s="63">
        <v>32.9</v>
      </c>
      <c r="F17" s="63">
        <v>24.3</v>
      </c>
      <c r="G17" s="63">
        <v>25.9</v>
      </c>
      <c r="H17" s="55"/>
    </row>
    <row r="18" spans="1:8" ht="16.2">
      <c r="A18" s="17" t="s">
        <v>119</v>
      </c>
      <c r="B18" s="63">
        <v>14</v>
      </c>
      <c r="C18" s="63">
        <v>340</v>
      </c>
      <c r="D18" s="63">
        <v>31.3</v>
      </c>
      <c r="E18" s="63">
        <v>31.5</v>
      </c>
      <c r="F18" s="63">
        <v>28.5</v>
      </c>
      <c r="G18" s="63">
        <v>20.5</v>
      </c>
      <c r="H18" s="55"/>
    </row>
    <row r="19" spans="1:8" ht="13.8">
      <c r="A19" s="21"/>
      <c r="B19" s="64"/>
      <c r="C19" s="65"/>
      <c r="D19" s="66"/>
      <c r="E19" s="66"/>
      <c r="F19" s="67"/>
      <c r="G19" s="68"/>
      <c r="H19" s="56"/>
    </row>
    <row r="20" spans="1:8" ht="13.8">
      <c r="A20" s="69" t="s">
        <v>53</v>
      </c>
      <c r="B20" s="63"/>
      <c r="C20" s="63"/>
      <c r="D20" s="63"/>
      <c r="E20" s="63"/>
      <c r="F20" s="63"/>
      <c r="G20" s="63"/>
    </row>
    <row r="21" spans="1:8" ht="13.8">
      <c r="A21" s="21" t="s">
        <v>37</v>
      </c>
      <c r="B21" s="63">
        <v>12.2</v>
      </c>
      <c r="C21" s="63">
        <v>235</v>
      </c>
      <c r="D21" s="63">
        <v>30.7</v>
      </c>
      <c r="E21" s="63">
        <v>28.7</v>
      </c>
      <c r="F21" s="63">
        <v>22.2</v>
      </c>
      <c r="G21" s="63">
        <v>19.8</v>
      </c>
    </row>
    <row r="22" spans="1:8" ht="13.8">
      <c r="A22" s="21" t="s">
        <v>38</v>
      </c>
      <c r="B22" s="63">
        <v>11.9</v>
      </c>
      <c r="C22" s="63">
        <v>244</v>
      </c>
      <c r="D22" s="63">
        <v>30.5</v>
      </c>
      <c r="E22" s="63">
        <v>29.6</v>
      </c>
      <c r="F22" s="63">
        <v>23.9</v>
      </c>
      <c r="G22" s="63">
        <v>26.2</v>
      </c>
    </row>
    <row r="23" spans="1:8" ht="13.8">
      <c r="A23" s="21" t="s">
        <v>39</v>
      </c>
      <c r="B23" s="63">
        <v>12.1</v>
      </c>
      <c r="C23" s="63">
        <v>244</v>
      </c>
      <c r="D23" s="63">
        <v>30.3</v>
      </c>
      <c r="E23" s="63">
        <v>31.7</v>
      </c>
      <c r="F23" s="63">
        <v>25.4</v>
      </c>
      <c r="G23" s="63">
        <v>26.1</v>
      </c>
    </row>
    <row r="24" spans="1:8" ht="13.8">
      <c r="A24" s="21" t="s">
        <v>41</v>
      </c>
      <c r="B24" s="63">
        <v>12.5</v>
      </c>
      <c r="C24" s="63">
        <v>239</v>
      </c>
      <c r="D24" s="63">
        <v>31.6</v>
      </c>
      <c r="E24" s="63">
        <v>32.5</v>
      </c>
      <c r="F24" s="63">
        <v>24.1</v>
      </c>
      <c r="G24" s="63">
        <v>31.3</v>
      </c>
    </row>
    <row r="25" spans="1:8" ht="13.8">
      <c r="A25" s="21" t="s">
        <v>42</v>
      </c>
      <c r="B25" s="63">
        <v>12.9</v>
      </c>
      <c r="C25" s="63">
        <v>241</v>
      </c>
      <c r="D25" s="63">
        <v>31</v>
      </c>
      <c r="E25" s="63">
        <v>33.700000000000003</v>
      </c>
      <c r="F25" s="63">
        <v>25.9</v>
      </c>
      <c r="G25" s="63">
        <v>31</v>
      </c>
    </row>
    <row r="26" spans="1:8" ht="13.8">
      <c r="A26" s="21" t="s">
        <v>43</v>
      </c>
      <c r="B26" s="63">
        <v>14.7</v>
      </c>
      <c r="C26" s="63">
        <v>255</v>
      </c>
      <c r="D26" s="63">
        <v>32.200000000000003</v>
      </c>
      <c r="E26" s="63">
        <v>37.5</v>
      </c>
      <c r="F26" s="63">
        <v>24.8</v>
      </c>
      <c r="G26" s="63">
        <v>27.5</v>
      </c>
    </row>
    <row r="27" spans="1:8" ht="13.8">
      <c r="A27" s="21" t="s">
        <v>45</v>
      </c>
      <c r="B27" s="63">
        <v>15.4</v>
      </c>
      <c r="C27" s="63" t="s">
        <v>75</v>
      </c>
      <c r="D27" s="63">
        <v>33.9</v>
      </c>
      <c r="E27" s="63">
        <v>39.200000000000003</v>
      </c>
      <c r="F27" s="63">
        <v>25</v>
      </c>
      <c r="G27" s="63">
        <v>28.9</v>
      </c>
    </row>
    <row r="28" spans="1:8" ht="13.8">
      <c r="A28" s="21" t="s">
        <v>46</v>
      </c>
      <c r="B28" s="63">
        <v>15.8</v>
      </c>
      <c r="C28" s="63" t="s">
        <v>75</v>
      </c>
      <c r="D28" s="63">
        <v>37.1</v>
      </c>
      <c r="E28" s="63">
        <v>41.3</v>
      </c>
      <c r="F28" s="63">
        <v>24.8</v>
      </c>
      <c r="G28" s="63">
        <v>30.2</v>
      </c>
    </row>
    <row r="29" spans="1:8" ht="13.8">
      <c r="A29" s="21" t="s">
        <v>47</v>
      </c>
      <c r="B29" s="63">
        <v>16.100000000000001</v>
      </c>
      <c r="C29" s="63" t="s">
        <v>75</v>
      </c>
      <c r="D29" s="63">
        <v>40.1</v>
      </c>
      <c r="E29" s="63">
        <v>42.9</v>
      </c>
      <c r="F29" s="63">
        <v>25.3</v>
      </c>
      <c r="G29" s="63">
        <v>29.7</v>
      </c>
    </row>
    <row r="30" spans="1:8" ht="13.8">
      <c r="A30" s="21" t="s">
        <v>49</v>
      </c>
      <c r="B30" s="63">
        <v>16.399999999999999</v>
      </c>
      <c r="C30" s="63" t="s">
        <v>75</v>
      </c>
      <c r="D30" s="63">
        <v>40.200000000000003</v>
      </c>
      <c r="E30" s="63">
        <v>45.6</v>
      </c>
      <c r="F30" s="63">
        <v>25.2</v>
      </c>
      <c r="G30" s="63">
        <v>23.9</v>
      </c>
    </row>
    <row r="31" spans="1:8" ht="13.8">
      <c r="A31" s="21" t="s">
        <v>50</v>
      </c>
      <c r="B31" s="63">
        <v>15.5</v>
      </c>
      <c r="C31" s="63">
        <v>360</v>
      </c>
      <c r="D31" s="63">
        <v>36.200000000000003</v>
      </c>
      <c r="E31" s="63">
        <v>42.7</v>
      </c>
      <c r="F31" s="63">
        <v>25.3</v>
      </c>
      <c r="G31" s="63">
        <v>24.2</v>
      </c>
    </row>
    <row r="32" spans="1:8" ht="13.8">
      <c r="A32" s="21" t="s">
        <v>51</v>
      </c>
      <c r="B32" s="63">
        <f>15.3</f>
        <v>15.3</v>
      </c>
      <c r="C32" s="63">
        <f>343</f>
        <v>343</v>
      </c>
      <c r="D32" s="63">
        <f>37.8</f>
        <v>37.799999999999997</v>
      </c>
      <c r="E32" s="63">
        <f>40</f>
        <v>40</v>
      </c>
      <c r="F32" s="63">
        <f>25</f>
        <v>25</v>
      </c>
      <c r="G32" s="63">
        <f>20.8</f>
        <v>20.8</v>
      </c>
    </row>
    <row r="33" spans="1:7" ht="13.8">
      <c r="A33" s="21"/>
      <c r="B33" s="63"/>
      <c r="C33" s="63"/>
      <c r="D33" s="63"/>
      <c r="E33" s="63"/>
      <c r="F33" s="63"/>
      <c r="G33" s="63"/>
    </row>
    <row r="34" spans="1:7" ht="13.8">
      <c r="A34" s="135" t="s">
        <v>156</v>
      </c>
      <c r="B34" s="63"/>
      <c r="C34" s="63"/>
      <c r="D34" s="63"/>
      <c r="E34" s="63"/>
      <c r="F34" s="63"/>
      <c r="G34" s="63"/>
    </row>
    <row r="35" spans="1:7" ht="13.8">
      <c r="A35" s="21" t="s">
        <v>37</v>
      </c>
      <c r="B35" s="63">
        <v>14.1</v>
      </c>
      <c r="C35" s="63">
        <v>361</v>
      </c>
      <c r="D35" s="63">
        <v>32.9</v>
      </c>
      <c r="E35" s="63">
        <v>28.1</v>
      </c>
      <c r="F35" s="63">
        <v>25.7</v>
      </c>
      <c r="G35" s="63">
        <v>18.899999999999999</v>
      </c>
    </row>
    <row r="36" spans="1:7" ht="13.8">
      <c r="A36" s="15" t="s">
        <v>38</v>
      </c>
      <c r="B36" s="14">
        <v>13.5</v>
      </c>
      <c r="C36" s="14">
        <v>338</v>
      </c>
      <c r="D36" s="14">
        <v>29.3</v>
      </c>
      <c r="E36" s="14">
        <v>28.1</v>
      </c>
      <c r="F36" s="14">
        <v>26.6</v>
      </c>
      <c r="G36" s="14">
        <v>18.600000000000001</v>
      </c>
    </row>
    <row r="37" spans="1:7" ht="16.2">
      <c r="A37" s="17" t="s">
        <v>120</v>
      </c>
      <c r="B37" s="17"/>
      <c r="C37" s="17"/>
      <c r="D37" s="17"/>
      <c r="E37" s="17"/>
      <c r="F37" s="17"/>
      <c r="G37" s="17"/>
    </row>
    <row r="38" spans="1:7" ht="14.4">
      <c r="A38" s="17" t="s">
        <v>121</v>
      </c>
      <c r="B38" s="17"/>
      <c r="C38" s="17"/>
      <c r="D38" s="17"/>
      <c r="E38" s="17"/>
      <c r="F38" s="17"/>
      <c r="G38" s="17"/>
    </row>
    <row r="39" spans="1:7" ht="13.8">
      <c r="A39" s="23" t="s">
        <v>56</v>
      </c>
      <c r="B39" s="46">
        <f>Contents!A16</f>
        <v>44908</v>
      </c>
      <c r="C39" s="17"/>
      <c r="D39" s="17"/>
      <c r="E39" s="17"/>
      <c r="F39" s="17"/>
      <c r="G39" s="17"/>
    </row>
  </sheetData>
  <phoneticPr fontId="20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60"/>
  <sheetViews>
    <sheetView showGridLines="0" zoomScale="70" zoomScaleNormal="70" workbookViewId="0"/>
  </sheetViews>
  <sheetFormatPr defaultColWidth="9.109375" defaultRowHeight="13.2"/>
  <cols>
    <col min="1" max="2" width="11.6640625" style="16" customWidth="1"/>
    <col min="3" max="3" width="11.5546875" style="16" customWidth="1"/>
    <col min="4" max="4" width="13.6640625" style="16" customWidth="1"/>
    <col min="5" max="5" width="11.6640625" style="16" customWidth="1"/>
    <col min="6" max="6" width="11.5546875" style="16" bestFit="1" customWidth="1"/>
    <col min="7" max="7" width="10.6640625" style="16" customWidth="1"/>
    <col min="8" max="8" width="12" style="16" customWidth="1"/>
    <col min="9" max="9" width="13.44140625" style="16" customWidth="1"/>
    <col min="10" max="16384" width="9.109375" style="16"/>
  </cols>
  <sheetData>
    <row r="1" spans="1:12" ht="13.8">
      <c r="A1" s="15" t="s">
        <v>9</v>
      </c>
      <c r="B1" s="15"/>
      <c r="C1" s="15"/>
      <c r="D1" s="15"/>
      <c r="E1" s="15"/>
      <c r="F1" s="15"/>
      <c r="G1" s="15"/>
      <c r="H1" s="15"/>
      <c r="I1" s="17"/>
    </row>
    <row r="2" spans="1:12" ht="15.6" customHeight="1">
      <c r="A2" s="70" t="s">
        <v>96</v>
      </c>
      <c r="B2" s="38" t="s">
        <v>122</v>
      </c>
      <c r="C2" s="38" t="s">
        <v>123</v>
      </c>
      <c r="D2" s="38" t="s">
        <v>124</v>
      </c>
      <c r="E2" s="71" t="s">
        <v>125</v>
      </c>
      <c r="F2" s="71" t="s">
        <v>126</v>
      </c>
      <c r="G2" s="38" t="s">
        <v>127</v>
      </c>
      <c r="H2" s="38" t="s">
        <v>128</v>
      </c>
      <c r="I2" s="72" t="s">
        <v>129</v>
      </c>
    </row>
    <row r="3" spans="1:12" ht="15.6" customHeight="1">
      <c r="A3" s="73" t="s">
        <v>103</v>
      </c>
      <c r="B3" s="26" t="s">
        <v>130</v>
      </c>
      <c r="C3" s="26" t="s">
        <v>131</v>
      </c>
      <c r="D3" s="26" t="s">
        <v>132</v>
      </c>
      <c r="E3" s="26" t="s">
        <v>132</v>
      </c>
      <c r="F3" s="26" t="s">
        <v>133</v>
      </c>
      <c r="G3" s="26" t="s">
        <v>134</v>
      </c>
      <c r="H3" s="26"/>
      <c r="I3" s="26" t="s">
        <v>135</v>
      </c>
    </row>
    <row r="4" spans="1:12" ht="14.4">
      <c r="A4" s="74" t="s">
        <v>136</v>
      </c>
      <c r="C4" s="75"/>
      <c r="D4" s="75"/>
      <c r="E4" s="75"/>
      <c r="F4" s="75"/>
      <c r="G4" s="75"/>
      <c r="H4" s="75"/>
      <c r="I4" s="75"/>
    </row>
    <row r="5" spans="1:12" ht="13.8">
      <c r="A5" s="17"/>
      <c r="B5" s="17"/>
      <c r="C5" s="17"/>
      <c r="D5" s="17"/>
      <c r="E5" s="17"/>
      <c r="F5" s="17"/>
      <c r="G5" s="17"/>
      <c r="H5" s="17"/>
      <c r="I5" s="17"/>
    </row>
    <row r="6" spans="1:12" ht="13.8">
      <c r="A6" s="17" t="s">
        <v>108</v>
      </c>
      <c r="B6" s="63">
        <v>53.2</v>
      </c>
      <c r="C6" s="63">
        <v>54.5</v>
      </c>
      <c r="D6" s="63">
        <v>86.12</v>
      </c>
      <c r="E6" s="63">
        <v>58.68</v>
      </c>
      <c r="F6" s="63">
        <v>77.239999999999995</v>
      </c>
      <c r="G6" s="63">
        <v>60.76</v>
      </c>
      <c r="H6" s="63">
        <v>51.52</v>
      </c>
      <c r="I6" s="63">
        <v>51.34</v>
      </c>
      <c r="K6" s="80"/>
      <c r="L6" s="80"/>
    </row>
    <row r="7" spans="1:12" ht="13.8">
      <c r="A7" s="17" t="s">
        <v>109</v>
      </c>
      <c r="B7" s="63">
        <v>51.9</v>
      </c>
      <c r="C7" s="63">
        <v>53.22</v>
      </c>
      <c r="D7" s="63">
        <v>83.2</v>
      </c>
      <c r="E7" s="63">
        <v>57.19</v>
      </c>
      <c r="F7" s="63">
        <v>100.15</v>
      </c>
      <c r="G7" s="63">
        <v>56.09</v>
      </c>
      <c r="H7" s="63">
        <v>48.11</v>
      </c>
      <c r="I7" s="63">
        <v>50.33</v>
      </c>
      <c r="K7" s="80"/>
      <c r="L7" s="80"/>
    </row>
    <row r="8" spans="1:12" ht="13.8">
      <c r="A8" s="17" t="s">
        <v>110</v>
      </c>
      <c r="B8" s="63">
        <v>47.13</v>
      </c>
      <c r="C8" s="63">
        <v>48.6</v>
      </c>
      <c r="D8" s="63">
        <v>65.87</v>
      </c>
      <c r="E8" s="63">
        <v>56.17</v>
      </c>
      <c r="F8" s="63">
        <v>91.83</v>
      </c>
      <c r="G8" s="63">
        <v>46.66</v>
      </c>
      <c r="H8" s="63">
        <v>51.8</v>
      </c>
      <c r="I8" s="63">
        <v>43.24</v>
      </c>
      <c r="K8" s="80"/>
      <c r="L8" s="80"/>
    </row>
    <row r="9" spans="1:12" ht="13.8">
      <c r="A9" s="17" t="s">
        <v>111</v>
      </c>
      <c r="B9" s="63">
        <v>38.229999999999997</v>
      </c>
      <c r="C9" s="63">
        <v>60.66</v>
      </c>
      <c r="D9" s="63">
        <v>59.12</v>
      </c>
      <c r="E9" s="63">
        <v>43.7</v>
      </c>
      <c r="F9" s="63">
        <v>68.23</v>
      </c>
      <c r="G9" s="63">
        <v>39.43</v>
      </c>
      <c r="H9" s="63">
        <v>43.93</v>
      </c>
      <c r="I9" s="63">
        <v>39.76</v>
      </c>
      <c r="K9" s="80"/>
      <c r="L9" s="80"/>
    </row>
    <row r="10" spans="1:12" ht="13.8">
      <c r="A10" s="17" t="s">
        <v>112</v>
      </c>
      <c r="B10" s="63">
        <v>31.6</v>
      </c>
      <c r="C10" s="63">
        <v>45.74</v>
      </c>
      <c r="D10" s="63">
        <v>66.72</v>
      </c>
      <c r="E10" s="63">
        <v>37.81</v>
      </c>
      <c r="F10" s="63">
        <v>57.96</v>
      </c>
      <c r="G10" s="63">
        <v>37.479999999999997</v>
      </c>
      <c r="H10" s="63">
        <v>33.43</v>
      </c>
      <c r="I10" s="63">
        <v>31.36</v>
      </c>
      <c r="K10" s="80"/>
      <c r="L10" s="80"/>
    </row>
    <row r="11" spans="1:12" ht="13.8">
      <c r="A11" s="17" t="s">
        <v>113</v>
      </c>
      <c r="B11" s="63">
        <v>29.86</v>
      </c>
      <c r="C11" s="63">
        <v>45.87</v>
      </c>
      <c r="D11" s="63">
        <v>57.81</v>
      </c>
      <c r="E11" s="63">
        <v>35.270000000000003</v>
      </c>
      <c r="F11" s="63">
        <v>58.26</v>
      </c>
      <c r="G11" s="63">
        <v>39.25</v>
      </c>
      <c r="H11" s="63">
        <v>32.229999999999997</v>
      </c>
      <c r="I11" s="63">
        <v>30.07</v>
      </c>
      <c r="K11" s="80"/>
      <c r="L11" s="80"/>
    </row>
    <row r="12" spans="1:12" ht="13.8">
      <c r="A12" s="17" t="s">
        <v>114</v>
      </c>
      <c r="B12" s="63">
        <v>32.549999999999997</v>
      </c>
      <c r="C12" s="63">
        <v>40.92</v>
      </c>
      <c r="D12" s="63">
        <v>53.54</v>
      </c>
      <c r="E12" s="63">
        <v>38.729999999999997</v>
      </c>
      <c r="F12" s="63">
        <v>66.73</v>
      </c>
      <c r="G12" s="63">
        <v>37.43</v>
      </c>
      <c r="H12" s="63">
        <v>33.07</v>
      </c>
      <c r="I12" s="63">
        <v>34.75</v>
      </c>
      <c r="K12" s="80"/>
      <c r="L12" s="80"/>
    </row>
    <row r="13" spans="1:12" ht="13.8">
      <c r="A13" s="17" t="s">
        <v>115</v>
      </c>
      <c r="B13" s="63">
        <v>30.04</v>
      </c>
      <c r="C13" s="63">
        <v>31.87</v>
      </c>
      <c r="D13" s="63">
        <v>54.57</v>
      </c>
      <c r="E13" s="63">
        <v>38.270000000000003</v>
      </c>
      <c r="F13" s="63">
        <v>66.72</v>
      </c>
      <c r="G13" s="63">
        <v>30.35</v>
      </c>
      <c r="H13" s="63">
        <v>34.159999999999997</v>
      </c>
      <c r="I13" s="63">
        <v>31.21</v>
      </c>
      <c r="K13" s="80"/>
      <c r="L13" s="80"/>
    </row>
    <row r="14" spans="1:12" ht="13.8">
      <c r="A14" s="17" t="s">
        <v>116</v>
      </c>
      <c r="B14" s="63">
        <v>28.26</v>
      </c>
      <c r="C14" s="63">
        <v>35.14</v>
      </c>
      <c r="D14" s="63">
        <v>53.28</v>
      </c>
      <c r="E14" s="63">
        <v>36.090000000000003</v>
      </c>
      <c r="F14" s="63">
        <v>64.72</v>
      </c>
      <c r="G14" s="63">
        <v>26.93</v>
      </c>
      <c r="H14" s="63">
        <v>31.65</v>
      </c>
      <c r="I14" s="63">
        <v>33.11</v>
      </c>
      <c r="K14" s="80"/>
      <c r="L14" s="80"/>
    </row>
    <row r="15" spans="1:12" ht="13.8">
      <c r="A15" s="17" t="s">
        <v>117</v>
      </c>
      <c r="B15" s="63">
        <v>29.65</v>
      </c>
      <c r="C15" s="63">
        <v>40.18</v>
      </c>
      <c r="D15" s="63">
        <v>65.03</v>
      </c>
      <c r="E15" s="63">
        <v>37.869999999999997</v>
      </c>
      <c r="F15" s="63">
        <v>62</v>
      </c>
      <c r="G15" s="63">
        <v>39.47</v>
      </c>
      <c r="H15" s="63">
        <v>35.75</v>
      </c>
      <c r="I15" s="63">
        <v>38.369999999999997</v>
      </c>
      <c r="K15" s="80"/>
      <c r="L15" s="80"/>
    </row>
    <row r="16" spans="1:12" ht="13.8">
      <c r="A16" s="17" t="s">
        <v>34</v>
      </c>
      <c r="B16" s="63">
        <v>56.87</v>
      </c>
      <c r="C16" s="63">
        <v>80.94</v>
      </c>
      <c r="D16" s="63">
        <v>79</v>
      </c>
      <c r="E16" s="63">
        <v>70.459999999999994</v>
      </c>
      <c r="F16" s="63">
        <v>101.4</v>
      </c>
      <c r="G16" s="63">
        <v>53.88</v>
      </c>
      <c r="H16" s="63">
        <v>55.89</v>
      </c>
      <c r="I16" s="63">
        <v>54.98</v>
      </c>
      <c r="K16" s="80"/>
      <c r="L16" s="80"/>
    </row>
    <row r="17" spans="1:12" ht="16.2">
      <c r="A17" s="17" t="s">
        <v>137</v>
      </c>
      <c r="B17" s="63">
        <v>73</v>
      </c>
      <c r="C17" s="63">
        <v>107.15</v>
      </c>
      <c r="D17" s="63">
        <v>111.39</v>
      </c>
      <c r="E17" s="63">
        <v>90.52</v>
      </c>
      <c r="F17" s="63">
        <v>107</v>
      </c>
      <c r="G17" s="63">
        <v>64.28</v>
      </c>
      <c r="H17" s="63">
        <v>82</v>
      </c>
      <c r="I17" s="63">
        <v>81.84</v>
      </c>
      <c r="J17" s="118"/>
      <c r="K17" s="80"/>
      <c r="L17" s="80"/>
    </row>
    <row r="18" spans="1:12" ht="16.2">
      <c r="A18" s="17" t="s">
        <v>138</v>
      </c>
      <c r="B18" s="63">
        <v>68</v>
      </c>
      <c r="C18" s="63">
        <v>102</v>
      </c>
      <c r="D18" s="63">
        <v>99</v>
      </c>
      <c r="E18" s="63">
        <v>79</v>
      </c>
      <c r="F18" s="63">
        <v>103</v>
      </c>
      <c r="G18" s="63">
        <v>63</v>
      </c>
      <c r="H18" s="63">
        <v>82</v>
      </c>
      <c r="I18" s="63">
        <v>82</v>
      </c>
      <c r="J18" s="118"/>
      <c r="K18" s="80"/>
      <c r="L18" s="80"/>
    </row>
    <row r="19" spans="1:12" ht="13.8">
      <c r="A19" s="17"/>
      <c r="B19" s="76"/>
      <c r="C19" s="76"/>
      <c r="D19" s="76"/>
      <c r="E19" s="76"/>
      <c r="F19" s="76"/>
      <c r="G19" s="76"/>
      <c r="H19" s="76"/>
      <c r="I19" s="76"/>
    </row>
    <row r="20" spans="1:12" ht="13.8">
      <c r="A20" s="51" t="s">
        <v>53</v>
      </c>
      <c r="B20" s="63"/>
      <c r="C20" s="63"/>
      <c r="D20" s="63"/>
      <c r="E20" s="63"/>
      <c r="F20" s="63"/>
      <c r="G20" s="63"/>
      <c r="H20" s="63"/>
      <c r="I20" s="63"/>
      <c r="L20" s="118"/>
    </row>
    <row r="21" spans="1:12" ht="13.8">
      <c r="A21" s="21" t="s">
        <v>38</v>
      </c>
      <c r="B21" s="63">
        <v>70.42</v>
      </c>
      <c r="C21" s="63">
        <v>98.5</v>
      </c>
      <c r="D21" s="63">
        <v>129</v>
      </c>
      <c r="E21" s="63">
        <v>82.3</v>
      </c>
      <c r="F21" s="63">
        <v>101.5</v>
      </c>
      <c r="G21" s="63">
        <v>57.069999999999993</v>
      </c>
      <c r="H21" s="63" t="s">
        <v>75</v>
      </c>
      <c r="I21" s="63" t="s">
        <v>75</v>
      </c>
      <c r="K21" s="122"/>
      <c r="L21" s="121"/>
    </row>
    <row r="22" spans="1:12" ht="13.8">
      <c r="A22" s="21" t="s">
        <v>39</v>
      </c>
      <c r="B22" s="63">
        <v>66.459999999999994</v>
      </c>
      <c r="C22" s="63">
        <v>96.75</v>
      </c>
      <c r="D22" s="63">
        <v>125</v>
      </c>
      <c r="E22" s="63">
        <v>84.375</v>
      </c>
      <c r="F22" s="63">
        <v>100</v>
      </c>
      <c r="G22" s="63">
        <v>57.918000000000006</v>
      </c>
      <c r="H22" s="63" t="s">
        <v>75</v>
      </c>
      <c r="I22" s="63">
        <v>80.06</v>
      </c>
      <c r="K22" s="122"/>
      <c r="L22" s="122"/>
    </row>
    <row r="23" spans="1:12" ht="13.8">
      <c r="A23" s="21" t="s">
        <v>41</v>
      </c>
      <c r="B23" s="63">
        <v>63.69</v>
      </c>
      <c r="C23" s="63">
        <v>93.3</v>
      </c>
      <c r="D23" s="63">
        <v>125</v>
      </c>
      <c r="E23" s="63">
        <v>82.95</v>
      </c>
      <c r="F23" s="63">
        <v>100</v>
      </c>
      <c r="G23" s="63">
        <v>56.093333333333334</v>
      </c>
      <c r="H23" s="63" t="s">
        <v>75</v>
      </c>
      <c r="I23" s="63">
        <v>73</v>
      </c>
      <c r="K23" s="122"/>
      <c r="L23" s="122"/>
    </row>
    <row r="24" spans="1:12" ht="13.8">
      <c r="A24" s="21" t="s">
        <v>42</v>
      </c>
      <c r="B24" s="63">
        <v>65.7</v>
      </c>
      <c r="C24" s="63">
        <v>97.9375</v>
      </c>
      <c r="D24" s="63">
        <v>123.125</v>
      </c>
      <c r="E24" s="63">
        <v>88.5625</v>
      </c>
      <c r="F24" s="63">
        <v>103.125</v>
      </c>
      <c r="G24" s="63">
        <v>54.09</v>
      </c>
      <c r="H24" s="63" t="s">
        <v>75</v>
      </c>
      <c r="I24" s="63">
        <v>76.5</v>
      </c>
      <c r="K24" s="124"/>
    </row>
    <row r="25" spans="1:12" ht="13.8">
      <c r="A25" s="21" t="s">
        <v>43</v>
      </c>
      <c r="B25" s="63">
        <v>70.91</v>
      </c>
      <c r="C25" s="63">
        <v>101.375</v>
      </c>
      <c r="D25" s="63">
        <v>115.33333333333333</v>
      </c>
      <c r="E25" s="63">
        <v>85.875</v>
      </c>
      <c r="F25" s="63">
        <v>105</v>
      </c>
      <c r="G25" s="63">
        <v>59.29</v>
      </c>
      <c r="H25" s="63">
        <v>82</v>
      </c>
      <c r="I25" s="63">
        <v>80</v>
      </c>
    </row>
    <row r="26" spans="1:12" ht="13.8">
      <c r="A26" s="21" t="s">
        <v>45</v>
      </c>
      <c r="B26" s="63">
        <v>76.405000000000001</v>
      </c>
      <c r="C26" s="63">
        <v>114.875</v>
      </c>
      <c r="D26" s="63">
        <v>129</v>
      </c>
      <c r="E26" s="63">
        <v>92</v>
      </c>
      <c r="F26" s="63">
        <v>107.5</v>
      </c>
      <c r="G26" s="63">
        <v>67.1875</v>
      </c>
      <c r="H26" s="63" t="s">
        <v>75</v>
      </c>
      <c r="I26" s="63">
        <v>81.5</v>
      </c>
    </row>
    <row r="27" spans="1:12" ht="13.8">
      <c r="A27" s="21" t="s">
        <v>46</v>
      </c>
      <c r="B27" s="63">
        <v>83.846000000000004</v>
      </c>
      <c r="C27" s="63">
        <v>120.05</v>
      </c>
      <c r="D27" s="63">
        <v>120.4</v>
      </c>
      <c r="E27" s="63">
        <v>103.15</v>
      </c>
      <c r="F27" s="63">
        <v>115</v>
      </c>
      <c r="G27" s="63">
        <v>71.55</v>
      </c>
      <c r="H27" s="63" t="s">
        <v>75</v>
      </c>
      <c r="I27" s="63">
        <v>83.125</v>
      </c>
    </row>
    <row r="28" spans="1:12" ht="13.8">
      <c r="A28" s="21" t="s">
        <v>47</v>
      </c>
      <c r="B28" s="63">
        <v>87.385000000000005</v>
      </c>
      <c r="C28" s="63">
        <v>119.5625</v>
      </c>
      <c r="D28" s="63">
        <v>113.5</v>
      </c>
      <c r="E28" s="63">
        <v>108.6875</v>
      </c>
      <c r="F28" s="63">
        <v>116.25</v>
      </c>
      <c r="G28" s="63">
        <v>77.802499999999995</v>
      </c>
      <c r="H28" s="63" t="s">
        <v>75</v>
      </c>
      <c r="I28" s="63">
        <v>84.25</v>
      </c>
    </row>
    <row r="29" spans="1:12" ht="13.8">
      <c r="A29" s="21" t="s">
        <v>49</v>
      </c>
      <c r="B29" s="63">
        <v>80.297499999999999</v>
      </c>
      <c r="C29" s="63">
        <v>115.75</v>
      </c>
      <c r="D29" s="63">
        <v>97.75</v>
      </c>
      <c r="E29" s="63">
        <v>102.25</v>
      </c>
      <c r="F29" s="63">
        <v>116.25</v>
      </c>
      <c r="G29" s="63">
        <v>76.375</v>
      </c>
      <c r="H29" s="63" t="s">
        <v>75</v>
      </c>
      <c r="I29" s="63">
        <v>86.5</v>
      </c>
    </row>
    <row r="30" spans="1:12" ht="13.8">
      <c r="A30" s="21" t="s">
        <v>50</v>
      </c>
      <c r="B30" s="63">
        <v>67.74799999999999</v>
      </c>
      <c r="C30" s="63">
        <v>100.8</v>
      </c>
      <c r="D30" s="63">
        <v>78.2</v>
      </c>
      <c r="E30" s="63">
        <v>87.9</v>
      </c>
      <c r="F30" s="63">
        <v>103.2</v>
      </c>
      <c r="G30" s="63">
        <v>62.25</v>
      </c>
      <c r="H30" s="63" t="s">
        <v>75</v>
      </c>
      <c r="I30" s="63">
        <v>81.5</v>
      </c>
    </row>
    <row r="31" spans="1:12" ht="13.8">
      <c r="A31" s="21" t="s">
        <v>51</v>
      </c>
      <c r="B31" s="63">
        <v>72.334999999999994</v>
      </c>
      <c r="C31" s="63">
        <v>113.75</v>
      </c>
      <c r="D31" s="63">
        <v>92</v>
      </c>
      <c r="E31" s="63">
        <v>91.3125</v>
      </c>
      <c r="F31" s="63">
        <v>107.25</v>
      </c>
      <c r="G31" s="63">
        <v>65.4375</v>
      </c>
      <c r="H31" s="63" t="s">
        <v>75</v>
      </c>
      <c r="I31" s="63" t="s">
        <v>75</v>
      </c>
    </row>
    <row r="32" spans="1:12" ht="13.8">
      <c r="A32" s="21" t="s">
        <v>37</v>
      </c>
      <c r="B32" s="63">
        <v>70.626000000000005</v>
      </c>
      <c r="C32" s="63">
        <v>113.2</v>
      </c>
      <c r="D32" s="63">
        <v>88.4</v>
      </c>
      <c r="E32" s="63">
        <v>76.849999999999994</v>
      </c>
      <c r="F32" s="63">
        <v>111.6</v>
      </c>
      <c r="G32" s="63">
        <v>66.263999999999996</v>
      </c>
      <c r="H32" s="63" t="s">
        <v>75</v>
      </c>
      <c r="I32" s="63">
        <v>92</v>
      </c>
      <c r="K32" s="80"/>
      <c r="L32" s="80"/>
    </row>
    <row r="33" spans="1:12" ht="13.8">
      <c r="A33" s="21"/>
      <c r="B33" s="63"/>
      <c r="C33" s="63"/>
      <c r="D33" s="63"/>
      <c r="E33" s="63"/>
      <c r="F33" s="63"/>
      <c r="G33" s="63"/>
      <c r="H33" s="63"/>
      <c r="I33" s="63"/>
      <c r="K33" s="80"/>
      <c r="L33" s="80"/>
    </row>
    <row r="34" spans="1:12" ht="13.8">
      <c r="A34" s="51" t="s">
        <v>156</v>
      </c>
      <c r="B34" s="63"/>
      <c r="C34" s="63"/>
      <c r="D34" s="63"/>
      <c r="E34" s="63"/>
      <c r="F34" s="63"/>
      <c r="G34" s="63"/>
      <c r="H34" s="63"/>
      <c r="I34" s="63"/>
      <c r="K34" s="80"/>
      <c r="L34" s="80"/>
    </row>
    <row r="35" spans="1:12" ht="13.8">
      <c r="A35" s="21" t="s">
        <v>38</v>
      </c>
      <c r="B35" s="63">
        <v>72.67</v>
      </c>
      <c r="C35" s="63">
        <v>110.1875</v>
      </c>
      <c r="D35" s="63">
        <v>93.75</v>
      </c>
      <c r="E35" s="63">
        <v>80.125</v>
      </c>
      <c r="F35" s="63">
        <v>107.75</v>
      </c>
      <c r="G35" s="63">
        <v>65.412499999999994</v>
      </c>
      <c r="H35" s="63">
        <v>88</v>
      </c>
      <c r="I35" s="63">
        <v>88.5</v>
      </c>
      <c r="K35" s="80"/>
      <c r="L35" s="80"/>
    </row>
    <row r="36" spans="1:12" ht="13.8">
      <c r="A36" s="15" t="s">
        <v>39</v>
      </c>
      <c r="B36" s="14">
        <v>79.180000000000007</v>
      </c>
      <c r="C36" s="14">
        <v>116.6875</v>
      </c>
      <c r="D36" s="14">
        <v>106</v>
      </c>
      <c r="E36" s="14">
        <v>84.375</v>
      </c>
      <c r="F36" s="14">
        <v>111</v>
      </c>
      <c r="G36" s="14">
        <v>69.67</v>
      </c>
      <c r="H36" s="14" t="s">
        <v>75</v>
      </c>
      <c r="I36" s="14">
        <v>88.5</v>
      </c>
      <c r="K36" s="80"/>
      <c r="L36" s="80"/>
    </row>
    <row r="37" spans="1:12" ht="16.2">
      <c r="A37" s="54" t="s">
        <v>139</v>
      </c>
      <c r="B37" s="78"/>
      <c r="C37" s="78"/>
      <c r="D37" s="78"/>
      <c r="E37" s="78"/>
      <c r="F37" s="78"/>
      <c r="G37" s="78"/>
      <c r="H37" s="78"/>
      <c r="I37" s="78"/>
    </row>
    <row r="38" spans="1:12" ht="16.2">
      <c r="A38" s="17" t="s">
        <v>140</v>
      </c>
      <c r="B38" s="78"/>
      <c r="C38" s="78"/>
      <c r="D38" s="78"/>
      <c r="E38" s="78"/>
      <c r="F38" s="78"/>
      <c r="G38" s="78"/>
      <c r="H38" s="78"/>
      <c r="I38" s="78"/>
    </row>
    <row r="39" spans="1:12" ht="14.4">
      <c r="A39" s="17" t="s">
        <v>141</v>
      </c>
      <c r="B39" s="17"/>
      <c r="C39" s="17"/>
      <c r="D39" s="17"/>
      <c r="E39" s="17"/>
      <c r="F39" s="78"/>
      <c r="G39" s="17"/>
      <c r="H39" s="17"/>
      <c r="I39" s="17"/>
    </row>
    <row r="40" spans="1:12" ht="13.8">
      <c r="A40" s="23" t="s">
        <v>56</v>
      </c>
      <c r="B40" s="46">
        <f>Contents!A16</f>
        <v>44908</v>
      </c>
      <c r="C40" s="17"/>
      <c r="D40" s="17"/>
      <c r="E40" s="17"/>
      <c r="F40" s="17"/>
      <c r="G40" s="17"/>
      <c r="H40" s="17"/>
      <c r="I40" s="17"/>
    </row>
    <row r="41" spans="1:12" ht="15.6">
      <c r="C41" s="79"/>
      <c r="G41" s="79"/>
      <c r="H41" s="79"/>
      <c r="I41" s="79"/>
    </row>
    <row r="42" spans="1:12" ht="15.6">
      <c r="B42" s="80"/>
      <c r="C42" s="80"/>
      <c r="D42" s="80"/>
      <c r="E42" s="80"/>
      <c r="F42" s="80"/>
      <c r="G42" s="80"/>
      <c r="H42" s="79"/>
      <c r="I42" s="79"/>
    </row>
    <row r="43" spans="1:12" ht="15.6">
      <c r="B43" s="123"/>
      <c r="C43" s="123"/>
      <c r="D43" s="123"/>
      <c r="E43" s="123"/>
      <c r="F43" s="123"/>
      <c r="G43" s="123"/>
      <c r="H43" s="79"/>
      <c r="I43" s="79"/>
    </row>
    <row r="44" spans="1:12" ht="15.6">
      <c r="C44" s="79"/>
      <c r="G44" s="79"/>
      <c r="H44" s="79"/>
      <c r="I44" s="79"/>
    </row>
    <row r="45" spans="1:12" ht="15.6">
      <c r="C45" s="79"/>
      <c r="G45" s="79"/>
      <c r="H45" s="79"/>
      <c r="I45" s="79"/>
    </row>
    <row r="46" spans="1:12" ht="15.6">
      <c r="C46" s="79"/>
      <c r="G46" s="79"/>
      <c r="H46" s="79"/>
      <c r="I46" s="79"/>
    </row>
    <row r="47" spans="1:12" ht="15.6">
      <c r="C47" s="79"/>
      <c r="G47" s="79"/>
      <c r="H47" s="79"/>
      <c r="I47" s="79"/>
    </row>
    <row r="48" spans="1:12" ht="15.6">
      <c r="C48" s="79"/>
      <c r="G48" s="79"/>
      <c r="H48" s="79"/>
      <c r="I48" s="79"/>
    </row>
    <row r="49" spans="3:9" ht="15.6">
      <c r="C49" s="79"/>
      <c r="G49" s="79"/>
      <c r="H49" s="79"/>
      <c r="I49" s="79"/>
    </row>
    <row r="50" spans="3:9" ht="15.6">
      <c r="C50" s="79"/>
      <c r="G50" s="79"/>
      <c r="H50" s="79"/>
      <c r="I50" s="79"/>
    </row>
    <row r="51" spans="3:9" ht="15.6">
      <c r="C51" s="79"/>
      <c r="G51" s="79"/>
      <c r="H51" s="79"/>
      <c r="I51" s="79"/>
    </row>
    <row r="52" spans="3:9" ht="15.6">
      <c r="C52" s="79"/>
      <c r="G52" s="79"/>
      <c r="H52" s="79"/>
      <c r="I52" s="79"/>
    </row>
    <row r="53" spans="3:9" ht="15.6">
      <c r="C53" s="79"/>
      <c r="G53" s="79"/>
      <c r="H53" s="79"/>
      <c r="I53" s="79"/>
    </row>
    <row r="54" spans="3:9" ht="15.6">
      <c r="C54" s="79"/>
      <c r="G54" s="79"/>
      <c r="H54" s="79"/>
      <c r="I54" s="79"/>
    </row>
    <row r="55" spans="3:9" ht="15.6">
      <c r="C55" s="79"/>
      <c r="G55" s="79"/>
      <c r="H55" s="79"/>
      <c r="I55" s="79"/>
    </row>
    <row r="56" spans="3:9" ht="15.6">
      <c r="C56" s="79"/>
      <c r="G56" s="79"/>
      <c r="H56" s="79"/>
      <c r="I56" s="79"/>
    </row>
    <row r="57" spans="3:9" ht="15.6">
      <c r="C57" s="79"/>
      <c r="H57" s="79"/>
      <c r="I57" s="79"/>
    </row>
    <row r="58" spans="3:9" ht="15.6">
      <c r="C58" s="79"/>
      <c r="H58" s="79"/>
      <c r="I58" s="79"/>
    </row>
    <row r="59" spans="3:9" ht="15.6">
      <c r="C59" s="79"/>
      <c r="F59" s="80"/>
      <c r="H59" s="79"/>
      <c r="I59" s="79"/>
    </row>
    <row r="60" spans="3:9" ht="15.6">
      <c r="F60" s="80"/>
      <c r="H60" s="79"/>
      <c r="I60" s="79"/>
    </row>
  </sheetData>
  <phoneticPr fontId="20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0"/>
  <sheetViews>
    <sheetView showGridLines="0" zoomScale="70" zoomScaleNormal="70" workbookViewId="0"/>
  </sheetViews>
  <sheetFormatPr defaultColWidth="9.109375" defaultRowHeight="13.2"/>
  <cols>
    <col min="1" max="1" width="11.6640625" style="16" customWidth="1"/>
    <col min="2" max="7" width="13.6640625" style="16" customWidth="1"/>
    <col min="8" max="8" width="10.109375" style="16" bestFit="1" customWidth="1"/>
    <col min="9" max="10" width="9.109375" style="16"/>
    <col min="11" max="11" width="8.88671875" style="16" customWidth="1"/>
    <col min="12" max="12" width="18" style="16" bestFit="1" customWidth="1"/>
    <col min="13" max="16384" width="9.109375" style="16"/>
  </cols>
  <sheetData>
    <row r="1" spans="1:28" ht="13.8">
      <c r="A1" s="15" t="s">
        <v>10</v>
      </c>
      <c r="B1" s="15"/>
      <c r="C1" s="15"/>
      <c r="D1" s="15"/>
      <c r="E1" s="15"/>
      <c r="F1" s="15"/>
      <c r="G1" s="15"/>
    </row>
    <row r="2" spans="1:28" ht="15.6" customHeight="1">
      <c r="A2" s="21" t="s">
        <v>96</v>
      </c>
      <c r="B2" s="38" t="s">
        <v>122</v>
      </c>
      <c r="C2" s="81" t="s">
        <v>123</v>
      </c>
      <c r="D2" s="81" t="s">
        <v>124</v>
      </c>
      <c r="E2" s="81" t="s">
        <v>126</v>
      </c>
      <c r="F2" s="38" t="s">
        <v>142</v>
      </c>
      <c r="G2" s="19" t="s">
        <v>143</v>
      </c>
      <c r="AB2" s="82"/>
    </row>
    <row r="3" spans="1:28" ht="15.6" customHeight="1">
      <c r="A3" s="15" t="s">
        <v>103</v>
      </c>
      <c r="B3" s="26" t="s">
        <v>144</v>
      </c>
      <c r="C3" s="26" t="s">
        <v>145</v>
      </c>
      <c r="D3" s="26" t="s">
        <v>146</v>
      </c>
      <c r="E3" s="26" t="s">
        <v>147</v>
      </c>
      <c r="F3" s="26" t="s">
        <v>148</v>
      </c>
      <c r="G3" s="26" t="s">
        <v>149</v>
      </c>
      <c r="AB3" s="82"/>
    </row>
    <row r="4" spans="1:28" ht="14.4">
      <c r="A4" s="74" t="s">
        <v>150</v>
      </c>
      <c r="C4" s="75"/>
      <c r="D4" s="75"/>
      <c r="E4" s="75"/>
      <c r="F4" s="75"/>
      <c r="G4" s="75"/>
      <c r="AB4" s="82"/>
    </row>
    <row r="5" spans="1:28" ht="13.8">
      <c r="A5" s="17"/>
      <c r="B5" s="17"/>
      <c r="C5" s="17"/>
      <c r="D5" s="17"/>
      <c r="E5" s="17"/>
      <c r="F5" s="17"/>
      <c r="G5" s="17"/>
      <c r="AB5" s="82"/>
    </row>
    <row r="6" spans="1:28" ht="13.8">
      <c r="A6" s="17" t="s">
        <v>108</v>
      </c>
      <c r="B6" s="63">
        <v>345.52</v>
      </c>
      <c r="C6" s="63">
        <v>273.83999999999997</v>
      </c>
      <c r="D6" s="63">
        <v>219.72</v>
      </c>
      <c r="E6" s="83" t="s">
        <v>75</v>
      </c>
      <c r="F6" s="63">
        <v>263.63</v>
      </c>
      <c r="G6" s="63">
        <v>240.65</v>
      </c>
      <c r="AB6" s="82"/>
    </row>
    <row r="7" spans="1:28" ht="13.8">
      <c r="A7" s="17" t="s">
        <v>109</v>
      </c>
      <c r="B7" s="63">
        <v>393.53</v>
      </c>
      <c r="C7" s="63">
        <v>275.13</v>
      </c>
      <c r="D7" s="63">
        <v>246.75</v>
      </c>
      <c r="E7" s="83" t="s">
        <v>75</v>
      </c>
      <c r="F7" s="63">
        <v>307.58999999999997</v>
      </c>
      <c r="G7" s="63">
        <v>265.68</v>
      </c>
      <c r="AB7" s="82"/>
    </row>
    <row r="8" spans="1:28" ht="13.8">
      <c r="A8" s="17" t="s">
        <v>110</v>
      </c>
      <c r="B8" s="63">
        <v>468.11</v>
      </c>
      <c r="C8" s="63">
        <v>331.52</v>
      </c>
      <c r="D8" s="63">
        <v>241.57</v>
      </c>
      <c r="E8" s="83" t="s">
        <v>75</v>
      </c>
      <c r="F8" s="63">
        <v>354.22</v>
      </c>
      <c r="G8" s="63">
        <v>329.31</v>
      </c>
      <c r="AB8" s="82"/>
    </row>
    <row r="9" spans="1:28" ht="13.8">
      <c r="A9" s="17" t="s">
        <v>111</v>
      </c>
      <c r="B9" s="63">
        <v>489.94</v>
      </c>
      <c r="C9" s="63">
        <v>377.71</v>
      </c>
      <c r="D9" s="63">
        <v>238.87</v>
      </c>
      <c r="E9" s="83" t="s">
        <v>75</v>
      </c>
      <c r="F9" s="63">
        <v>359.7</v>
      </c>
      <c r="G9" s="63">
        <v>337.23</v>
      </c>
      <c r="AB9" s="82"/>
    </row>
    <row r="10" spans="1:28" ht="13.8">
      <c r="A10" s="17" t="s">
        <v>112</v>
      </c>
      <c r="B10" s="63">
        <v>368.49</v>
      </c>
      <c r="C10" s="63">
        <v>304.27</v>
      </c>
      <c r="D10" s="63">
        <v>209.97</v>
      </c>
      <c r="E10" s="83" t="s">
        <v>75</v>
      </c>
      <c r="F10" s="63">
        <v>301.2</v>
      </c>
      <c r="G10" s="63">
        <v>256.58</v>
      </c>
      <c r="AB10" s="82"/>
    </row>
    <row r="11" spans="1:28" ht="13.8">
      <c r="A11" s="17" t="s">
        <v>113</v>
      </c>
      <c r="B11" s="63">
        <v>324.56</v>
      </c>
      <c r="C11" s="63">
        <v>261.19</v>
      </c>
      <c r="D11" s="63">
        <v>153.16999999999999</v>
      </c>
      <c r="E11" s="83" t="s">
        <v>75</v>
      </c>
      <c r="F11" s="63">
        <v>262.2</v>
      </c>
      <c r="G11" s="63">
        <v>260.23</v>
      </c>
      <c r="AB11" s="82"/>
    </row>
    <row r="12" spans="1:28" ht="13.8">
      <c r="A12" s="17" t="s">
        <v>114</v>
      </c>
      <c r="B12" s="63">
        <v>316.88</v>
      </c>
      <c r="C12" s="63">
        <v>208.61</v>
      </c>
      <c r="D12" s="63">
        <v>145.1</v>
      </c>
      <c r="E12" s="83" t="s">
        <v>75</v>
      </c>
      <c r="F12" s="63">
        <v>267.94</v>
      </c>
      <c r="G12" s="63">
        <v>282.49</v>
      </c>
      <c r="AB12" s="82"/>
    </row>
    <row r="13" spans="1:28" ht="13.8">
      <c r="A13" s="17" t="s">
        <v>115</v>
      </c>
      <c r="B13" s="63">
        <v>345.02</v>
      </c>
      <c r="C13" s="63">
        <v>260.88</v>
      </c>
      <c r="D13" s="63">
        <v>173.53</v>
      </c>
      <c r="E13" s="83" t="s">
        <v>75</v>
      </c>
      <c r="F13" s="63">
        <v>291.14999999999998</v>
      </c>
      <c r="G13" s="63">
        <v>239.15</v>
      </c>
    </row>
    <row r="14" spans="1:28" ht="13.8">
      <c r="A14" s="17" t="s">
        <v>116</v>
      </c>
      <c r="B14" s="63">
        <v>308.27999999999997</v>
      </c>
      <c r="C14" s="63">
        <v>228.64</v>
      </c>
      <c r="D14" s="77">
        <v>164.16</v>
      </c>
      <c r="E14" s="83" t="s">
        <v>75</v>
      </c>
      <c r="F14" s="63">
        <v>272.38</v>
      </c>
      <c r="G14" s="63">
        <v>225.77</v>
      </c>
    </row>
    <row r="15" spans="1:28" ht="13.8">
      <c r="A15" s="17" t="s">
        <v>117</v>
      </c>
      <c r="B15" s="63">
        <v>299.5</v>
      </c>
      <c r="C15" s="63">
        <v>247.04</v>
      </c>
      <c r="D15" s="77">
        <v>187.7</v>
      </c>
      <c r="E15" s="83" t="s">
        <v>75</v>
      </c>
      <c r="F15" s="63">
        <v>273.99</v>
      </c>
      <c r="G15" s="63">
        <v>245.88</v>
      </c>
    </row>
    <row r="16" spans="1:28" ht="13.8">
      <c r="A16" s="17" t="s">
        <v>34</v>
      </c>
      <c r="B16" s="63">
        <v>392.31</v>
      </c>
      <c r="C16" s="63">
        <v>375.51</v>
      </c>
      <c r="D16" s="77">
        <v>246.22</v>
      </c>
      <c r="E16" s="83" t="s">
        <v>75</v>
      </c>
      <c r="F16" s="63">
        <v>351.87</v>
      </c>
      <c r="G16" s="63">
        <v>288.12</v>
      </c>
    </row>
    <row r="17" spans="1:13" ht="16.2">
      <c r="A17" s="17" t="s">
        <v>137</v>
      </c>
      <c r="B17" s="63">
        <v>439.81</v>
      </c>
      <c r="C17" s="63">
        <v>355.33</v>
      </c>
      <c r="D17" s="77">
        <v>279.98</v>
      </c>
      <c r="E17" s="83" t="s">
        <v>75</v>
      </c>
      <c r="F17" s="63">
        <v>439.1</v>
      </c>
      <c r="G17" s="63">
        <v>332.21</v>
      </c>
    </row>
    <row r="18" spans="1:13" ht="16.2">
      <c r="A18" s="17" t="s">
        <v>138</v>
      </c>
      <c r="B18" s="63">
        <v>410</v>
      </c>
      <c r="C18" s="63">
        <v>370</v>
      </c>
      <c r="D18" s="77">
        <v>245</v>
      </c>
      <c r="E18" s="83" t="s">
        <v>75</v>
      </c>
      <c r="F18" s="63">
        <v>380</v>
      </c>
      <c r="G18" s="63">
        <v>310</v>
      </c>
    </row>
    <row r="19" spans="1:13" ht="13.8">
      <c r="A19" s="21"/>
      <c r="B19" s="63"/>
      <c r="C19" s="63"/>
      <c r="D19" s="63"/>
      <c r="E19" s="83"/>
      <c r="F19" s="63"/>
      <c r="G19" s="63"/>
      <c r="I19" s="84"/>
      <c r="J19" s="85"/>
      <c r="K19" s="85"/>
      <c r="L19" s="85"/>
      <c r="M19" s="85"/>
    </row>
    <row r="20" spans="1:13" ht="13.8">
      <c r="A20" s="51" t="s">
        <v>53</v>
      </c>
      <c r="B20" s="63"/>
      <c r="C20" s="63"/>
      <c r="D20" s="63"/>
      <c r="E20" s="63"/>
      <c r="F20" s="63"/>
      <c r="G20" s="63"/>
      <c r="H20" s="63"/>
    </row>
    <row r="21" spans="1:13" ht="13.8">
      <c r="A21" s="21" t="s">
        <v>38</v>
      </c>
      <c r="B21" s="63">
        <v>325.43</v>
      </c>
      <c r="C21" s="63">
        <v>298.75</v>
      </c>
      <c r="D21" s="63">
        <v>222.5</v>
      </c>
      <c r="E21" s="83" t="s">
        <v>75</v>
      </c>
      <c r="F21" s="63">
        <v>322.82499999999999</v>
      </c>
      <c r="G21" s="63">
        <v>265.625</v>
      </c>
      <c r="H21" s="63"/>
    </row>
    <row r="22" spans="1:13" ht="13.8">
      <c r="A22" s="21" t="s">
        <v>39</v>
      </c>
      <c r="B22" s="63">
        <v>358.73</v>
      </c>
      <c r="C22" s="63">
        <v>304.5</v>
      </c>
      <c r="D22" s="63">
        <v>256.5</v>
      </c>
      <c r="E22" s="83" t="s">
        <v>75</v>
      </c>
      <c r="F22" s="63">
        <v>350.21999999999997</v>
      </c>
      <c r="G22" s="63">
        <v>252</v>
      </c>
      <c r="H22" s="63"/>
    </row>
    <row r="23" spans="1:13" ht="13.8">
      <c r="A23" s="21" t="s">
        <v>41</v>
      </c>
      <c r="B23" s="63">
        <v>399.53</v>
      </c>
      <c r="C23" s="63">
        <v>311.25</v>
      </c>
      <c r="D23" s="63">
        <v>289.16666666666669</v>
      </c>
      <c r="E23" s="83" t="s">
        <v>75</v>
      </c>
      <c r="F23" s="63">
        <v>382.9666666666667</v>
      </c>
      <c r="G23" s="63">
        <v>309.16666666666669</v>
      </c>
      <c r="H23" s="63"/>
    </row>
    <row r="24" spans="1:13" ht="13.8">
      <c r="A24" s="21" t="s">
        <v>151</v>
      </c>
      <c r="B24" s="63">
        <v>421.21</v>
      </c>
      <c r="C24" s="63">
        <v>318.125</v>
      </c>
      <c r="D24" s="63">
        <v>301.25</v>
      </c>
      <c r="E24" s="83" t="s">
        <v>75</v>
      </c>
      <c r="F24" s="63">
        <v>410.875</v>
      </c>
      <c r="G24" s="63">
        <v>326.25</v>
      </c>
      <c r="H24" s="63"/>
    </row>
    <row r="25" spans="1:13" ht="13.8">
      <c r="A25" s="21" t="s">
        <v>43</v>
      </c>
      <c r="B25" s="119">
        <v>460.45</v>
      </c>
      <c r="C25" s="63">
        <v>333.75</v>
      </c>
      <c r="D25" s="63">
        <v>320</v>
      </c>
      <c r="E25" s="83" t="s">
        <v>75</v>
      </c>
      <c r="F25" s="63">
        <v>454.625</v>
      </c>
      <c r="G25" s="63">
        <v>350</v>
      </c>
      <c r="H25" s="63"/>
    </row>
    <row r="26" spans="1:13" ht="13.8">
      <c r="A26" s="21" t="s">
        <v>45</v>
      </c>
      <c r="B26" s="119">
        <v>493.97500000000002</v>
      </c>
      <c r="C26" s="63">
        <v>345.625</v>
      </c>
      <c r="D26" s="63">
        <v>333.33300000000003</v>
      </c>
      <c r="E26" s="83" t="s">
        <v>75</v>
      </c>
      <c r="F26" s="63">
        <v>487.03750000000002</v>
      </c>
      <c r="G26" s="63">
        <v>392.5</v>
      </c>
      <c r="H26" s="63"/>
    </row>
    <row r="27" spans="1:13" ht="13.8">
      <c r="A27" s="21" t="s">
        <v>46</v>
      </c>
      <c r="B27" s="119">
        <v>475.35999999999996</v>
      </c>
      <c r="C27" s="63">
        <v>355</v>
      </c>
      <c r="D27" s="63">
        <v>321</v>
      </c>
      <c r="E27" s="83" t="s">
        <v>75</v>
      </c>
      <c r="F27" s="63">
        <v>470.77999999999992</v>
      </c>
      <c r="G27" s="63">
        <v>386</v>
      </c>
      <c r="H27" s="63"/>
    </row>
    <row r="28" spans="1:13" ht="13.8">
      <c r="A28" s="21" t="s">
        <v>47</v>
      </c>
      <c r="B28" s="119">
        <v>441.27499999999998</v>
      </c>
      <c r="C28" s="63">
        <v>388.75</v>
      </c>
      <c r="D28" s="63">
        <v>285.625</v>
      </c>
      <c r="E28" s="83" t="s">
        <v>75</v>
      </c>
      <c r="F28" s="63">
        <v>454.5</v>
      </c>
      <c r="G28" s="63">
        <v>351.25</v>
      </c>
      <c r="H28" s="63"/>
    </row>
    <row r="29" spans="1:13" ht="13.8">
      <c r="A29" s="21" t="s">
        <v>49</v>
      </c>
      <c r="B29" s="119">
        <v>445.92499999999995</v>
      </c>
      <c r="C29" s="63">
        <v>383.75</v>
      </c>
      <c r="D29" s="63">
        <v>281.875</v>
      </c>
      <c r="E29" s="83" t="s">
        <v>75</v>
      </c>
      <c r="F29" s="63">
        <v>478.17499999999995</v>
      </c>
      <c r="G29" s="63">
        <v>322.5</v>
      </c>
      <c r="H29" s="63"/>
    </row>
    <row r="30" spans="1:13" ht="13.8">
      <c r="A30" s="21" t="s">
        <v>50</v>
      </c>
      <c r="B30" s="119">
        <v>467.87</v>
      </c>
      <c r="C30" s="63">
        <v>369.5</v>
      </c>
      <c r="D30" s="63">
        <v>268.5</v>
      </c>
      <c r="E30" s="83" t="s">
        <v>75</v>
      </c>
      <c r="F30" s="63">
        <v>501.17999999999995</v>
      </c>
      <c r="G30" s="63">
        <v>351.5</v>
      </c>
      <c r="H30" s="63"/>
    </row>
    <row r="31" spans="1:13" ht="13.8">
      <c r="A31" s="21" t="s">
        <v>51</v>
      </c>
      <c r="B31" s="119">
        <v>510.90000000000009</v>
      </c>
      <c r="C31" s="63">
        <v>405</v>
      </c>
      <c r="D31" s="63">
        <v>255</v>
      </c>
      <c r="E31" s="83" t="s">
        <v>75</v>
      </c>
      <c r="F31" s="63">
        <v>521.52500000000009</v>
      </c>
      <c r="G31" s="63">
        <v>347.5</v>
      </c>
      <c r="H31" s="63"/>
    </row>
    <row r="32" spans="1:13" ht="13.8">
      <c r="A32" s="21" t="s">
        <v>37</v>
      </c>
      <c r="B32" s="136">
        <v>473.93999999999994</v>
      </c>
      <c r="C32" s="63">
        <v>450</v>
      </c>
      <c r="D32" s="63">
        <v>225</v>
      </c>
      <c r="E32" s="83" t="s">
        <v>75</v>
      </c>
      <c r="F32" s="63">
        <v>434.53999999999996</v>
      </c>
      <c r="G32" s="63" t="s">
        <v>75</v>
      </c>
      <c r="H32" s="63"/>
    </row>
    <row r="33" spans="1:10" ht="13.8">
      <c r="A33" s="21"/>
      <c r="B33" s="136"/>
      <c r="C33" s="63"/>
      <c r="D33" s="63"/>
      <c r="E33" s="83"/>
      <c r="F33" s="63"/>
      <c r="G33" s="63"/>
      <c r="H33" s="63"/>
    </row>
    <row r="34" spans="1:10" ht="13.8">
      <c r="A34" s="51" t="s">
        <v>156</v>
      </c>
      <c r="B34" s="136"/>
      <c r="C34" s="63"/>
      <c r="D34" s="63"/>
      <c r="E34" s="83"/>
      <c r="F34" s="63"/>
      <c r="G34" s="63"/>
      <c r="H34" s="63"/>
    </row>
    <row r="35" spans="1:10" ht="13.8">
      <c r="A35" s="21" t="s">
        <v>38</v>
      </c>
      <c r="B35" s="136">
        <v>468.67499999999995</v>
      </c>
      <c r="C35" s="63">
        <v>451.875</v>
      </c>
      <c r="D35" s="63" t="s">
        <v>75</v>
      </c>
      <c r="E35" s="83" t="s">
        <v>75</v>
      </c>
      <c r="F35" s="63">
        <v>409.17499999999995</v>
      </c>
      <c r="G35" s="63" t="s">
        <v>75</v>
      </c>
      <c r="H35" s="63"/>
    </row>
    <row r="36" spans="1:10" ht="13.8">
      <c r="A36" s="15" t="s">
        <v>39</v>
      </c>
      <c r="B36" s="129">
        <v>436.74999999999994</v>
      </c>
      <c r="C36" s="14">
        <v>405</v>
      </c>
      <c r="D36" s="14" t="s">
        <v>75</v>
      </c>
      <c r="E36" s="113" t="s">
        <v>75</v>
      </c>
      <c r="F36" s="14">
        <v>402.99999999999994</v>
      </c>
      <c r="G36" s="14">
        <v>357.5</v>
      </c>
      <c r="H36" s="63"/>
    </row>
    <row r="37" spans="1:10" ht="16.2">
      <c r="A37" s="54" t="s">
        <v>152</v>
      </c>
      <c r="B37" s="86"/>
      <c r="C37" s="86"/>
      <c r="D37" s="86"/>
      <c r="E37" s="86"/>
      <c r="F37" s="86"/>
      <c r="G37" s="86"/>
      <c r="I37" s="84"/>
    </row>
    <row r="38" spans="1:10" ht="16.2">
      <c r="A38" s="54" t="s">
        <v>153</v>
      </c>
      <c r="B38" s="87"/>
      <c r="C38" s="87"/>
      <c r="D38" s="87"/>
      <c r="E38" s="87"/>
      <c r="F38" s="87"/>
      <c r="G38" s="87"/>
      <c r="I38" s="84"/>
      <c r="J38" s="84"/>
    </row>
    <row r="39" spans="1:10" ht="14.4">
      <c r="A39" s="17" t="s">
        <v>154</v>
      </c>
      <c r="B39" s="17"/>
      <c r="C39" s="17"/>
      <c r="D39" s="17"/>
      <c r="E39" s="17"/>
      <c r="F39" s="87"/>
      <c r="G39" s="87"/>
      <c r="I39" s="84"/>
      <c r="J39" s="84"/>
    </row>
    <row r="40" spans="1:10" ht="13.8">
      <c r="A40" s="23" t="s">
        <v>56</v>
      </c>
      <c r="B40" s="46">
        <f>Contents!A16</f>
        <v>44908</v>
      </c>
      <c r="C40" s="17"/>
      <c r="D40" s="17"/>
      <c r="E40" s="17"/>
      <c r="F40" s="87"/>
      <c r="G40" s="87"/>
      <c r="I40" s="88"/>
      <c r="J40" s="88"/>
    </row>
    <row r="41" spans="1:10" ht="13.8">
      <c r="F41" s="87"/>
      <c r="G41" s="87"/>
      <c r="I41" s="88"/>
      <c r="J41" s="88"/>
    </row>
    <row r="42" spans="1:10" ht="13.8">
      <c r="F42" s="87"/>
      <c r="G42" s="87"/>
      <c r="I42" s="84"/>
      <c r="J42" s="84"/>
    </row>
    <row r="43" spans="1:10">
      <c r="I43" s="84"/>
      <c r="J43" s="84"/>
    </row>
    <row r="44" spans="1:10">
      <c r="I44" s="84"/>
      <c r="J44" s="84"/>
    </row>
    <row r="45" spans="1:10">
      <c r="I45" s="84"/>
      <c r="J45" s="84"/>
    </row>
    <row r="46" spans="1:10">
      <c r="I46" s="84"/>
      <c r="J46" s="84"/>
    </row>
    <row r="47" spans="1:10">
      <c r="I47" s="84"/>
      <c r="J47" s="84"/>
    </row>
    <row r="49" spans="9:10">
      <c r="I49" s="89"/>
      <c r="J49" s="89"/>
    </row>
    <row r="50" spans="9:10">
      <c r="I50" s="89"/>
      <c r="J50" s="89"/>
    </row>
  </sheetData>
  <phoneticPr fontId="20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A7598-DF20-4A36-866D-FC5C381618FB}">
  <dimension ref="A1:L54"/>
  <sheetViews>
    <sheetView zoomScaleNormal="100" workbookViewId="0"/>
  </sheetViews>
  <sheetFormatPr defaultColWidth="9.109375" defaultRowHeight="13.2"/>
  <cols>
    <col min="1" max="1" width="13.109375" style="127" customWidth="1"/>
    <col min="2" max="7" width="7.5546875" style="127" bestFit="1" customWidth="1"/>
    <col min="8" max="16384" width="9.109375" style="127"/>
  </cols>
  <sheetData>
    <row r="1" spans="1:12">
      <c r="A1" s="146" t="s">
        <v>168</v>
      </c>
      <c r="B1" s="146" t="s">
        <v>115</v>
      </c>
      <c r="C1" s="146" t="s">
        <v>116</v>
      </c>
      <c r="D1" s="146" t="s">
        <v>117</v>
      </c>
      <c r="E1" s="145" t="s">
        <v>34</v>
      </c>
      <c r="F1" s="145" t="s">
        <v>53</v>
      </c>
      <c r="G1" s="164" t="s">
        <v>156</v>
      </c>
    </row>
    <row r="2" spans="1:12">
      <c r="A2" s="165" t="s">
        <v>174</v>
      </c>
      <c r="B2" s="166">
        <v>85.566999999999993</v>
      </c>
      <c r="C2" s="166">
        <v>149.70699999999999</v>
      </c>
      <c r="D2" s="130">
        <v>195.92500000000001</v>
      </c>
      <c r="E2" s="130">
        <v>178.19800000000001</v>
      </c>
      <c r="F2" s="130">
        <v>104.996</v>
      </c>
      <c r="G2" s="144">
        <v>20.036999999999999</v>
      </c>
      <c r="H2" s="131"/>
      <c r="I2" s="131"/>
      <c r="J2" s="131"/>
      <c r="K2" s="131"/>
      <c r="L2" s="131"/>
    </row>
    <row r="3" spans="1:12">
      <c r="A3" s="165" t="s">
        <v>175</v>
      </c>
      <c r="B3" s="166">
        <v>113.011</v>
      </c>
      <c r="C3" s="166">
        <v>176.29</v>
      </c>
      <c r="D3" s="130">
        <v>199.87700000000001</v>
      </c>
      <c r="E3" s="130">
        <v>215.215</v>
      </c>
      <c r="F3" s="130">
        <v>107.997</v>
      </c>
      <c r="G3" s="132">
        <v>29.353999999999999</v>
      </c>
      <c r="H3" s="131"/>
      <c r="I3" s="131"/>
      <c r="J3" s="131"/>
      <c r="K3" s="131"/>
    </row>
    <row r="4" spans="1:12">
      <c r="A4" s="165" t="s">
        <v>176</v>
      </c>
      <c r="B4" s="166">
        <v>140.87200000000001</v>
      </c>
      <c r="C4" s="166">
        <v>202.559</v>
      </c>
      <c r="D4" s="130">
        <v>203.17400000000001</v>
      </c>
      <c r="E4" s="130">
        <v>221.18600000000001</v>
      </c>
      <c r="F4" s="130">
        <v>122.62</v>
      </c>
      <c r="G4" s="132">
        <v>31.888999999999999</v>
      </c>
      <c r="H4" s="131"/>
      <c r="I4" s="131"/>
      <c r="J4" s="131"/>
      <c r="K4" s="131"/>
    </row>
    <row r="5" spans="1:12">
      <c r="A5" s="165" t="s">
        <v>177</v>
      </c>
      <c r="B5" s="166">
        <v>167.91200000000001</v>
      </c>
      <c r="C5" s="166">
        <v>224.714</v>
      </c>
      <c r="D5" s="130">
        <v>233.12299999999999</v>
      </c>
      <c r="E5" s="130">
        <v>228.01</v>
      </c>
      <c r="F5" s="130">
        <v>133.84399999999999</v>
      </c>
      <c r="G5" s="132">
        <v>29.536999999999999</v>
      </c>
      <c r="H5" s="131"/>
      <c r="I5" s="131"/>
      <c r="J5" s="131"/>
      <c r="K5" s="131"/>
    </row>
    <row r="6" spans="1:12">
      <c r="A6" s="165" t="s">
        <v>178</v>
      </c>
      <c r="B6" s="166">
        <v>183.828</v>
      </c>
      <c r="C6" s="166">
        <v>247.15</v>
      </c>
      <c r="D6" s="130">
        <v>236.935</v>
      </c>
      <c r="E6" s="130">
        <v>316.01799999999997</v>
      </c>
      <c r="F6" s="130">
        <v>144.267</v>
      </c>
      <c r="G6" s="132">
        <v>32.262</v>
      </c>
      <c r="H6" s="131"/>
      <c r="I6" s="131"/>
      <c r="J6" s="131"/>
      <c r="K6" s="131"/>
    </row>
    <row r="7" spans="1:12">
      <c r="A7" s="165" t="s">
        <v>179</v>
      </c>
      <c r="B7" s="166">
        <v>186.49199999999999</v>
      </c>
      <c r="C7" s="166">
        <v>262.149</v>
      </c>
      <c r="D7" s="130">
        <v>267.495</v>
      </c>
      <c r="E7" s="130">
        <v>361.15</v>
      </c>
      <c r="F7" s="130">
        <v>211.74700000000001</v>
      </c>
      <c r="G7" s="132">
        <v>32.636000000000003</v>
      </c>
      <c r="H7" s="131"/>
      <c r="I7" s="131"/>
      <c r="J7" s="131"/>
      <c r="K7" s="131"/>
    </row>
    <row r="8" spans="1:12">
      <c r="A8" s="165" t="s">
        <v>180</v>
      </c>
      <c r="B8" s="166">
        <v>190.66900000000001</v>
      </c>
      <c r="C8" s="166">
        <v>302.19400000000002</v>
      </c>
      <c r="D8" s="130">
        <v>306.63200000000001</v>
      </c>
      <c r="E8" s="130">
        <v>387.452</v>
      </c>
      <c r="F8" s="130">
        <v>253.78100000000001</v>
      </c>
      <c r="G8" s="132">
        <v>32.539000000000001</v>
      </c>
      <c r="H8" s="131"/>
      <c r="I8" s="131"/>
      <c r="J8" s="131"/>
      <c r="K8" s="131"/>
    </row>
    <row r="9" spans="1:12">
      <c r="A9" s="165" t="s">
        <v>181</v>
      </c>
      <c r="B9" s="166">
        <v>202.25399999999999</v>
      </c>
      <c r="C9" s="166">
        <v>311.38200000000001</v>
      </c>
      <c r="D9" s="130">
        <v>321.49700000000001</v>
      </c>
      <c r="E9" s="130">
        <v>389.93599999999998</v>
      </c>
      <c r="F9" s="130">
        <v>303.10399999999998</v>
      </c>
      <c r="G9" s="132">
        <v>30.233000000000001</v>
      </c>
      <c r="H9" s="131"/>
      <c r="I9" s="131"/>
      <c r="J9" s="131"/>
      <c r="K9" s="131"/>
    </row>
    <row r="10" spans="1:12">
      <c r="A10" s="165" t="s">
        <v>182</v>
      </c>
      <c r="B10" s="166">
        <v>223.28299999999999</v>
      </c>
      <c r="C10" s="166">
        <v>332.43</v>
      </c>
      <c r="D10" s="130">
        <v>332.27800000000002</v>
      </c>
      <c r="E10" s="130">
        <v>398.363</v>
      </c>
      <c r="F10" s="130">
        <v>308.41500000000002</v>
      </c>
      <c r="G10" s="132"/>
      <c r="H10" s="131"/>
      <c r="I10" s="131"/>
      <c r="J10" s="131"/>
      <c r="K10" s="131"/>
    </row>
    <row r="11" spans="1:12">
      <c r="A11" s="165" t="s">
        <v>183</v>
      </c>
      <c r="B11" s="166">
        <v>237.80500000000001</v>
      </c>
      <c r="C11" s="166">
        <v>338.358</v>
      </c>
      <c r="D11" s="132">
        <v>362.24900000000002</v>
      </c>
      <c r="E11" s="130">
        <v>405.971</v>
      </c>
      <c r="F11" s="132">
        <v>319.00099999999998</v>
      </c>
      <c r="G11" s="132"/>
      <c r="H11" s="131"/>
      <c r="I11" s="131"/>
      <c r="J11" s="131"/>
      <c r="K11" s="131"/>
    </row>
    <row r="12" spans="1:12">
      <c r="A12" s="167" t="s">
        <v>184</v>
      </c>
      <c r="B12" s="168">
        <v>262.04899999999998</v>
      </c>
      <c r="C12" s="166">
        <v>374.05900000000003</v>
      </c>
      <c r="D12" s="132">
        <v>390.25400000000002</v>
      </c>
      <c r="E12" s="130">
        <v>426.84300000000002</v>
      </c>
      <c r="F12" s="130">
        <v>428.48</v>
      </c>
      <c r="G12" s="130"/>
      <c r="H12" s="131"/>
      <c r="I12" s="131"/>
      <c r="J12" s="131"/>
      <c r="K12" s="131"/>
    </row>
    <row r="13" spans="1:12">
      <c r="A13" s="169" t="s">
        <v>185</v>
      </c>
      <c r="B13" s="166">
        <v>306.24799999999999</v>
      </c>
      <c r="C13" s="166">
        <v>387.72</v>
      </c>
      <c r="D13" s="130">
        <v>427.62400000000002</v>
      </c>
      <c r="E13" s="130">
        <v>487.58800000000002</v>
      </c>
      <c r="F13" s="130">
        <v>437.78199999999998</v>
      </c>
      <c r="G13" s="130"/>
      <c r="H13" s="131"/>
      <c r="I13" s="131"/>
      <c r="J13" s="131"/>
      <c r="K13" s="131"/>
    </row>
    <row r="14" spans="1:12">
      <c r="A14" s="170" t="s">
        <v>186</v>
      </c>
      <c r="B14" s="166">
        <v>324.10399999999998</v>
      </c>
      <c r="C14" s="166">
        <v>403.68299999999999</v>
      </c>
      <c r="D14" s="130">
        <v>425.69</v>
      </c>
      <c r="E14" s="130">
        <v>491.11399999999998</v>
      </c>
      <c r="F14" s="130">
        <v>440.68900000000002</v>
      </c>
      <c r="G14" s="130"/>
      <c r="H14" s="131"/>
      <c r="I14" s="131"/>
      <c r="J14" s="131"/>
      <c r="K14" s="131"/>
    </row>
    <row r="15" spans="1:12">
      <c r="A15" s="170" t="s">
        <v>187</v>
      </c>
      <c r="B15" s="166">
        <v>322.49200000000002</v>
      </c>
      <c r="C15" s="166">
        <v>405.90300000000002</v>
      </c>
      <c r="D15" s="130">
        <v>428.267</v>
      </c>
      <c r="E15" s="130">
        <v>502.22699999999998</v>
      </c>
      <c r="F15" s="130">
        <v>437.75299999999999</v>
      </c>
      <c r="G15" s="130"/>
      <c r="H15" s="131"/>
      <c r="I15" s="131"/>
      <c r="J15" s="131"/>
      <c r="K15" s="131"/>
    </row>
    <row r="16" spans="1:12">
      <c r="A16" s="170" t="s">
        <v>188</v>
      </c>
      <c r="B16" s="166">
        <v>350.41399999999999</v>
      </c>
      <c r="C16" s="166">
        <v>405.90300000000002</v>
      </c>
      <c r="D16" s="130">
        <v>464.42399999999998</v>
      </c>
      <c r="E16" s="130">
        <v>554.51800000000003</v>
      </c>
      <c r="F16" s="130">
        <v>468.48599999999999</v>
      </c>
      <c r="G16" s="130"/>
      <c r="H16" s="131"/>
      <c r="I16" s="131"/>
      <c r="J16" s="131"/>
      <c r="K16" s="131"/>
    </row>
    <row r="17" spans="1:11">
      <c r="A17" s="170" t="s">
        <v>189</v>
      </c>
      <c r="B17" s="166">
        <v>362.166</v>
      </c>
      <c r="C17" s="166">
        <v>405.90300000000002</v>
      </c>
      <c r="D17" s="130">
        <v>520.01199999999994</v>
      </c>
      <c r="E17" s="130">
        <v>573.649</v>
      </c>
      <c r="F17" s="130">
        <v>480.63900000000001</v>
      </c>
      <c r="G17" s="130"/>
      <c r="H17" s="131"/>
      <c r="I17" s="131"/>
      <c r="J17" s="131"/>
      <c r="K17" s="131"/>
    </row>
    <row r="18" spans="1:11">
      <c r="A18" s="170" t="s">
        <v>190</v>
      </c>
      <c r="B18" s="166">
        <v>420.94600000000003</v>
      </c>
      <c r="C18" s="166">
        <v>405.90300000000002</v>
      </c>
      <c r="D18" s="130">
        <v>549.37900000000002</v>
      </c>
      <c r="E18" s="130">
        <v>584.18899999999996</v>
      </c>
      <c r="F18" s="130">
        <v>484.78800000000001</v>
      </c>
      <c r="G18" s="130"/>
      <c r="H18" s="131"/>
      <c r="I18" s="131"/>
      <c r="J18" s="131"/>
      <c r="K18" s="131"/>
    </row>
    <row r="19" spans="1:11">
      <c r="A19" s="170" t="s">
        <v>191</v>
      </c>
      <c r="B19" s="166">
        <v>428.73899999999998</v>
      </c>
      <c r="C19" s="166">
        <v>405.90300000000002</v>
      </c>
      <c r="D19" s="130">
        <v>602.30700000000002</v>
      </c>
      <c r="E19" s="130">
        <v>583.75099999999998</v>
      </c>
      <c r="F19" s="130">
        <v>487.661</v>
      </c>
      <c r="G19" s="130"/>
      <c r="H19" s="131"/>
      <c r="I19" s="131"/>
      <c r="J19" s="131"/>
      <c r="K19" s="131"/>
    </row>
    <row r="20" spans="1:11">
      <c r="A20" s="170" t="s">
        <v>192</v>
      </c>
      <c r="B20" s="166">
        <v>453.14400000000001</v>
      </c>
      <c r="C20" s="166">
        <v>405.90300000000002</v>
      </c>
      <c r="D20" s="130">
        <v>641.45000000000005</v>
      </c>
      <c r="E20" s="130">
        <v>588.10199999999998</v>
      </c>
      <c r="F20" s="130">
        <v>523.04</v>
      </c>
      <c r="G20" s="130"/>
      <c r="H20" s="131"/>
      <c r="I20" s="131"/>
      <c r="J20" s="131"/>
      <c r="K20" s="131"/>
    </row>
    <row r="21" spans="1:11">
      <c r="A21" s="170" t="s">
        <v>193</v>
      </c>
      <c r="B21" s="166">
        <v>496.05799999999999</v>
      </c>
      <c r="C21" s="166">
        <v>498.03899999999999</v>
      </c>
      <c r="D21" s="130">
        <v>683.404</v>
      </c>
      <c r="E21" s="130">
        <v>592.476</v>
      </c>
      <c r="F21" s="130">
        <v>558.51</v>
      </c>
      <c r="G21" s="130"/>
      <c r="H21" s="131"/>
      <c r="I21" s="131"/>
      <c r="J21" s="131"/>
      <c r="K21" s="131"/>
    </row>
    <row r="22" spans="1:11">
      <c r="A22" s="170" t="s">
        <v>194</v>
      </c>
      <c r="B22" s="166">
        <v>512.678</v>
      </c>
      <c r="C22" s="166">
        <v>508.63900000000001</v>
      </c>
      <c r="D22" s="130">
        <v>689.00599999999997</v>
      </c>
      <c r="E22" s="130">
        <v>597.93200000000002</v>
      </c>
      <c r="F22" s="130">
        <v>565.09799999999996</v>
      </c>
      <c r="G22" s="130"/>
      <c r="H22" s="131"/>
      <c r="I22" s="131"/>
      <c r="J22" s="131"/>
      <c r="K22" s="131"/>
    </row>
    <row r="23" spans="1:11">
      <c r="A23" s="170" t="s">
        <v>195</v>
      </c>
      <c r="B23" s="166">
        <v>546.72</v>
      </c>
      <c r="C23" s="166">
        <v>516.77499999999998</v>
      </c>
      <c r="D23" s="130">
        <v>732.524</v>
      </c>
      <c r="E23" s="130">
        <v>602.84100000000001</v>
      </c>
      <c r="F23" s="130">
        <v>581.71</v>
      </c>
      <c r="G23" s="130"/>
      <c r="H23" s="131"/>
      <c r="I23" s="131"/>
      <c r="J23" s="131"/>
      <c r="K23" s="131"/>
    </row>
    <row r="24" spans="1:11">
      <c r="A24" s="170" t="s">
        <v>196</v>
      </c>
      <c r="B24" s="166">
        <v>578.31500000000005</v>
      </c>
      <c r="C24" s="166">
        <v>530.76099999999997</v>
      </c>
      <c r="D24" s="130">
        <v>757.22799999999995</v>
      </c>
      <c r="E24" s="130">
        <v>621.92200000000003</v>
      </c>
      <c r="F24" s="130">
        <v>604.34900000000005</v>
      </c>
      <c r="G24" s="130"/>
      <c r="H24" s="131"/>
      <c r="I24" s="131"/>
      <c r="J24" s="131"/>
      <c r="K24" s="131"/>
    </row>
    <row r="25" spans="1:11">
      <c r="A25" s="170" t="s">
        <v>197</v>
      </c>
      <c r="B25" s="166">
        <v>614.81899999999996</v>
      </c>
      <c r="C25" s="166">
        <v>536.30899999999997</v>
      </c>
      <c r="D25" s="130">
        <v>776.10299999999995</v>
      </c>
      <c r="E25" s="130">
        <v>635.07500000000005</v>
      </c>
      <c r="F25" s="130">
        <v>602.36300000000006</v>
      </c>
      <c r="G25" s="130"/>
      <c r="H25" s="131"/>
      <c r="I25" s="131"/>
      <c r="J25" s="131"/>
      <c r="K25" s="131"/>
    </row>
    <row r="26" spans="1:11">
      <c r="A26" s="170" t="s">
        <v>198</v>
      </c>
      <c r="B26" s="166">
        <v>649.40800000000002</v>
      </c>
      <c r="C26" s="166">
        <v>547.99800000000005</v>
      </c>
      <c r="D26" s="130">
        <v>832.029</v>
      </c>
      <c r="E26" s="130">
        <v>639.15499999999997</v>
      </c>
      <c r="F26" s="130">
        <v>633.29499999999996</v>
      </c>
      <c r="G26" s="130"/>
      <c r="H26" s="131"/>
      <c r="I26" s="131"/>
      <c r="J26" s="131"/>
      <c r="K26" s="131"/>
    </row>
    <row r="27" spans="1:11">
      <c r="A27" s="170" t="s">
        <v>199</v>
      </c>
      <c r="B27" s="166">
        <v>692.93399999999997</v>
      </c>
      <c r="C27" s="166">
        <v>584.71799999999996</v>
      </c>
      <c r="D27" s="130">
        <v>898.99599999999998</v>
      </c>
      <c r="E27" s="130">
        <v>654.87300000000005</v>
      </c>
      <c r="F27" s="130">
        <v>639.54300000000001</v>
      </c>
      <c r="G27" s="130"/>
      <c r="H27" s="131"/>
      <c r="J27" s="131"/>
      <c r="K27" s="131"/>
    </row>
    <row r="28" spans="1:11">
      <c r="A28" s="170" t="s">
        <v>200</v>
      </c>
      <c r="B28" s="166">
        <v>714.97699999999998</v>
      </c>
      <c r="C28" s="166">
        <v>618.55200000000002</v>
      </c>
      <c r="D28" s="130">
        <v>924.04600000000005</v>
      </c>
      <c r="E28" s="130">
        <v>653.41499999999996</v>
      </c>
      <c r="F28" s="130">
        <v>645.66700000000003</v>
      </c>
      <c r="G28" s="130"/>
      <c r="H28" s="131"/>
      <c r="I28" s="131"/>
      <c r="J28" s="131"/>
      <c r="K28" s="131"/>
    </row>
    <row r="29" spans="1:11">
      <c r="A29" s="170" t="s">
        <v>201</v>
      </c>
      <c r="B29" s="166">
        <v>743.02200000000005</v>
      </c>
      <c r="C29" s="166">
        <v>642.78</v>
      </c>
      <c r="D29" s="130">
        <v>945.22699999999998</v>
      </c>
      <c r="E29" s="130">
        <v>659.09</v>
      </c>
      <c r="F29" s="130">
        <v>646.86400000000003</v>
      </c>
      <c r="G29" s="130"/>
      <c r="H29" s="131"/>
      <c r="I29" s="131"/>
      <c r="J29" s="131"/>
      <c r="K29" s="131"/>
    </row>
    <row r="30" spans="1:11">
      <c r="A30" s="170" t="s">
        <v>202</v>
      </c>
      <c r="B30" s="166">
        <v>754.25900000000001</v>
      </c>
      <c r="C30" s="166">
        <v>662.41</v>
      </c>
      <c r="D30" s="130">
        <v>966.61</v>
      </c>
      <c r="E30" s="130">
        <v>662.721</v>
      </c>
      <c r="F30" s="130">
        <v>650.34400000000005</v>
      </c>
      <c r="G30" s="130"/>
      <c r="H30" s="131"/>
      <c r="I30" s="131"/>
      <c r="J30" s="131"/>
      <c r="K30" s="131"/>
    </row>
    <row r="31" spans="1:11">
      <c r="A31" s="170" t="s">
        <v>203</v>
      </c>
      <c r="B31" s="166">
        <v>798.75800000000004</v>
      </c>
      <c r="C31" s="166">
        <v>669.68799999999999</v>
      </c>
      <c r="D31" s="130">
        <v>996.36800000000005</v>
      </c>
      <c r="E31" s="130">
        <v>668.798</v>
      </c>
      <c r="F31" s="130">
        <v>665.08600000000001</v>
      </c>
      <c r="G31" s="130"/>
      <c r="H31" s="131"/>
      <c r="I31" s="131"/>
      <c r="J31" s="131"/>
      <c r="K31" s="131"/>
    </row>
    <row r="32" spans="1:11">
      <c r="A32" s="171" t="s">
        <v>204</v>
      </c>
      <c r="B32" s="166">
        <v>844.15</v>
      </c>
      <c r="C32" s="166">
        <v>686.06500000000005</v>
      </c>
      <c r="D32" s="130">
        <v>1015.289</v>
      </c>
      <c r="E32" s="130">
        <v>669.60599999999999</v>
      </c>
      <c r="F32" s="130">
        <v>665.72199999999998</v>
      </c>
      <c r="G32" s="130"/>
      <c r="H32" s="131"/>
      <c r="I32" s="131"/>
      <c r="J32" s="131"/>
      <c r="K32" s="131"/>
    </row>
    <row r="33" spans="1:11">
      <c r="A33" s="171" t="s">
        <v>205</v>
      </c>
      <c r="B33" s="166">
        <v>854.33500000000004</v>
      </c>
      <c r="C33" s="166">
        <v>696.85799999999995</v>
      </c>
      <c r="D33" s="130">
        <v>1022.026</v>
      </c>
      <c r="E33" s="130">
        <v>665.08</v>
      </c>
      <c r="F33" s="130">
        <v>665.23099999999999</v>
      </c>
      <c r="G33" s="130"/>
      <c r="H33" s="131"/>
      <c r="I33" s="131"/>
      <c r="J33" s="131"/>
      <c r="K33" s="131"/>
    </row>
    <row r="34" spans="1:11">
      <c r="A34" s="170" t="s">
        <v>206</v>
      </c>
      <c r="B34" s="166">
        <v>872.03300000000002</v>
      </c>
      <c r="C34" s="166">
        <v>705.94600000000003</v>
      </c>
      <c r="D34" s="130">
        <v>1084.107</v>
      </c>
      <c r="E34" s="130">
        <v>666.79100000000005</v>
      </c>
      <c r="F34" s="130">
        <v>671.39400000000001</v>
      </c>
      <c r="G34" s="130"/>
      <c r="H34" s="131"/>
      <c r="I34" s="131"/>
      <c r="J34" s="131"/>
      <c r="K34" s="131"/>
    </row>
    <row r="35" spans="1:11">
      <c r="A35" s="170" t="s">
        <v>207</v>
      </c>
      <c r="B35" s="166">
        <v>875.04100000000005</v>
      </c>
      <c r="C35" s="166">
        <v>741.06600000000003</v>
      </c>
      <c r="D35" s="130">
        <v>1140.7059999999999</v>
      </c>
      <c r="E35" s="130">
        <v>667.80899999999997</v>
      </c>
      <c r="F35" s="130">
        <v>675.56600000000003</v>
      </c>
      <c r="G35" s="130"/>
      <c r="H35" s="131"/>
      <c r="I35" s="131"/>
      <c r="J35" s="131"/>
      <c r="K35" s="131"/>
    </row>
    <row r="36" spans="1:11">
      <c r="A36" s="170" t="s">
        <v>208</v>
      </c>
      <c r="B36" s="166">
        <v>885.04100000000005</v>
      </c>
      <c r="C36" s="166">
        <v>756.48599999999999</v>
      </c>
      <c r="D36" s="130">
        <v>1150.115</v>
      </c>
      <c r="E36" s="130">
        <v>670.98500000000001</v>
      </c>
      <c r="F36" s="130">
        <v>676.82399999999996</v>
      </c>
      <c r="G36" s="130"/>
      <c r="H36" s="131"/>
      <c r="I36" s="131"/>
      <c r="J36" s="131"/>
      <c r="K36" s="131"/>
    </row>
    <row r="37" spans="1:11">
      <c r="A37" s="170" t="s">
        <v>209</v>
      </c>
      <c r="B37" s="166">
        <v>884.82</v>
      </c>
      <c r="C37" s="166">
        <v>761.62199999999996</v>
      </c>
      <c r="D37" s="130">
        <v>1159.6020000000001</v>
      </c>
      <c r="E37" s="130">
        <v>673.18200000000002</v>
      </c>
      <c r="F37" s="130">
        <v>683.005</v>
      </c>
      <c r="G37" s="130"/>
      <c r="H37" s="131"/>
      <c r="I37" s="131"/>
      <c r="J37" s="131"/>
      <c r="K37" s="131"/>
    </row>
    <row r="38" spans="1:11">
      <c r="A38" s="170" t="s">
        <v>210</v>
      </c>
      <c r="B38" s="166">
        <v>900.80799999999999</v>
      </c>
      <c r="C38" s="166">
        <v>766.05700000000002</v>
      </c>
      <c r="D38" s="130">
        <v>1165.9880000000001</v>
      </c>
      <c r="E38" s="130">
        <v>675.55600000000004</v>
      </c>
      <c r="F38" s="130">
        <v>684.38099999999997</v>
      </c>
      <c r="G38" s="130"/>
      <c r="H38" s="131"/>
      <c r="I38" s="131"/>
      <c r="J38" s="131"/>
      <c r="K38" s="131"/>
    </row>
    <row r="39" spans="1:11">
      <c r="A39" s="170" t="s">
        <v>211</v>
      </c>
      <c r="B39" s="166">
        <v>931.33699999999999</v>
      </c>
      <c r="C39" s="166">
        <v>785.21199999999999</v>
      </c>
      <c r="D39" s="130">
        <v>1186.5150000000001</v>
      </c>
      <c r="E39" s="130">
        <v>677.87900000000002</v>
      </c>
      <c r="F39" s="130">
        <v>685.54399999999998</v>
      </c>
      <c r="G39" s="130"/>
      <c r="H39" s="131"/>
      <c r="I39" s="131"/>
      <c r="J39" s="131"/>
      <c r="K39" s="131"/>
    </row>
    <row r="40" spans="1:11">
      <c r="A40" s="170" t="s">
        <v>212</v>
      </c>
      <c r="B40" s="166">
        <v>967.93100000000004</v>
      </c>
      <c r="C40" s="166">
        <v>804.947</v>
      </c>
      <c r="D40" s="130">
        <v>1189.3489999999999</v>
      </c>
      <c r="E40" s="130">
        <v>677.44200000000001</v>
      </c>
      <c r="F40" s="130">
        <v>685.53200000000004</v>
      </c>
      <c r="G40" s="130"/>
      <c r="H40" s="131"/>
      <c r="I40" s="131"/>
      <c r="J40" s="131"/>
      <c r="K40" s="131"/>
    </row>
    <row r="41" spans="1:11">
      <c r="A41" s="170" t="s">
        <v>213</v>
      </c>
      <c r="B41" s="166">
        <v>995.43</v>
      </c>
      <c r="C41" s="166">
        <v>813.47400000000005</v>
      </c>
      <c r="D41" s="130">
        <v>1218.2570000000001</v>
      </c>
      <c r="E41" s="130">
        <v>676.55499999999995</v>
      </c>
      <c r="F41" s="130">
        <v>686.54600000000005</v>
      </c>
      <c r="G41" s="130"/>
      <c r="H41" s="131"/>
      <c r="I41" s="131"/>
      <c r="J41" s="131"/>
      <c r="K41" s="131"/>
    </row>
    <row r="42" spans="1:11">
      <c r="A42" s="170" t="s">
        <v>214</v>
      </c>
      <c r="B42" s="166">
        <v>1006.356</v>
      </c>
      <c r="C42" s="166">
        <v>825.66700000000003</v>
      </c>
      <c r="D42" s="130">
        <v>1223.915</v>
      </c>
      <c r="E42" s="130">
        <v>677.26300000000003</v>
      </c>
      <c r="F42" s="130">
        <v>687.17200000000003</v>
      </c>
      <c r="G42" s="130"/>
      <c r="H42" s="131"/>
      <c r="I42" s="131"/>
      <c r="J42" s="131"/>
      <c r="K42" s="131"/>
    </row>
    <row r="43" spans="1:11">
      <c r="A43" s="170" t="s">
        <v>215</v>
      </c>
      <c r="B43" s="166">
        <v>1001.914</v>
      </c>
      <c r="C43" s="166">
        <v>829.24099999999999</v>
      </c>
      <c r="D43" s="130">
        <v>1244.1099999999999</v>
      </c>
      <c r="E43" s="130">
        <v>679.42899999999997</v>
      </c>
      <c r="F43" s="130">
        <v>691.73699999999997</v>
      </c>
      <c r="G43" s="130"/>
      <c r="H43" s="131"/>
      <c r="I43" s="131"/>
      <c r="J43" s="131"/>
      <c r="K43" s="131"/>
    </row>
    <row r="44" spans="1:11">
      <c r="A44" s="170" t="s">
        <v>216</v>
      </c>
      <c r="B44" s="166">
        <v>1016.0839999999999</v>
      </c>
      <c r="C44" s="166">
        <v>843.851</v>
      </c>
      <c r="D44" s="130">
        <v>1244.9459999999999</v>
      </c>
      <c r="E44" s="130">
        <v>682.63400000000001</v>
      </c>
      <c r="F44" s="130">
        <v>693.05799999999999</v>
      </c>
      <c r="G44" s="130"/>
      <c r="H44" s="131"/>
      <c r="I44" s="131"/>
      <c r="J44" s="131"/>
      <c r="K44" s="131"/>
    </row>
    <row r="45" spans="1:11">
      <c r="A45" s="170" t="s">
        <v>217</v>
      </c>
      <c r="B45" s="166">
        <v>1026.9870000000001</v>
      </c>
      <c r="C45" s="166">
        <v>875.625</v>
      </c>
      <c r="D45" s="130">
        <v>1269.347</v>
      </c>
      <c r="E45" s="130">
        <v>682.98</v>
      </c>
      <c r="F45" s="130">
        <v>693.7</v>
      </c>
      <c r="G45" s="130"/>
      <c r="H45" s="131"/>
      <c r="I45" s="131"/>
      <c r="J45" s="131"/>
      <c r="K45" s="131"/>
    </row>
    <row r="46" spans="1:11">
      <c r="A46" s="170" t="s">
        <v>218</v>
      </c>
      <c r="B46" s="166">
        <v>1031.828</v>
      </c>
      <c r="C46" s="166">
        <v>876.99199999999996</v>
      </c>
      <c r="D46" s="130">
        <v>1266.8440000000001</v>
      </c>
      <c r="E46" s="130">
        <v>683.51400000000001</v>
      </c>
      <c r="F46" s="130">
        <v>695.29399999999998</v>
      </c>
      <c r="G46" s="130"/>
      <c r="H46" s="131"/>
      <c r="I46" s="131"/>
      <c r="J46" s="131"/>
      <c r="K46" s="131"/>
    </row>
    <row r="47" spans="1:11">
      <c r="A47" s="170" t="s">
        <v>219</v>
      </c>
      <c r="B47" s="166">
        <v>1037.0039999999999</v>
      </c>
      <c r="C47" s="166">
        <v>879.21199999999999</v>
      </c>
      <c r="D47" s="130">
        <v>1266.693</v>
      </c>
      <c r="E47" s="130">
        <v>686.47799999999995</v>
      </c>
      <c r="F47" s="130">
        <v>695.29399999999998</v>
      </c>
      <c r="G47" s="130"/>
      <c r="H47" s="131"/>
      <c r="I47" s="131"/>
      <c r="J47" s="131"/>
      <c r="K47" s="131"/>
    </row>
    <row r="48" spans="1:11">
      <c r="A48" s="170" t="s">
        <v>220</v>
      </c>
      <c r="B48" s="166">
        <v>1061.027</v>
      </c>
      <c r="C48" s="166">
        <v>888.45899999999995</v>
      </c>
      <c r="D48" s="130">
        <v>1267.9559999999999</v>
      </c>
      <c r="E48" s="130">
        <v>690.58900000000006</v>
      </c>
      <c r="F48" s="130">
        <v>697.47199999999998</v>
      </c>
      <c r="G48" s="130"/>
      <c r="H48" s="131"/>
      <c r="I48" s="131"/>
      <c r="J48" s="131"/>
      <c r="K48" s="131"/>
    </row>
    <row r="49" spans="1:11">
      <c r="A49" s="170" t="s">
        <v>221</v>
      </c>
      <c r="B49" s="166">
        <v>1057.2940000000001</v>
      </c>
      <c r="C49" s="166">
        <v>891.601</v>
      </c>
      <c r="D49" s="130">
        <v>1272.8779999999999</v>
      </c>
      <c r="E49" s="130">
        <v>689.01400000000001</v>
      </c>
      <c r="F49" s="130">
        <v>698.96799999999996</v>
      </c>
      <c r="G49" s="130"/>
      <c r="H49" s="131"/>
      <c r="I49" s="131"/>
      <c r="J49" s="131"/>
      <c r="K49" s="131"/>
    </row>
    <row r="50" spans="1:11">
      <c r="A50" s="170" t="s">
        <v>222</v>
      </c>
      <c r="B50" s="166">
        <v>1062.02</v>
      </c>
      <c r="C50" s="166">
        <v>899.84400000000005</v>
      </c>
      <c r="D50" s="130">
        <v>1276.9280000000001</v>
      </c>
      <c r="E50" s="130">
        <v>687.34799999999996</v>
      </c>
      <c r="F50" s="130">
        <v>703.28300000000002</v>
      </c>
      <c r="G50" s="130"/>
      <c r="H50" s="131"/>
      <c r="I50" s="131"/>
      <c r="J50" s="131"/>
      <c r="K50" s="131"/>
    </row>
    <row r="51" spans="1:11">
      <c r="A51" s="170" t="s">
        <v>223</v>
      </c>
      <c r="B51" s="166">
        <v>1071.588</v>
      </c>
      <c r="C51" s="166">
        <v>918.76</v>
      </c>
      <c r="D51" s="130">
        <v>1277.018</v>
      </c>
      <c r="E51" s="130">
        <v>691.65899999999999</v>
      </c>
      <c r="F51" s="130">
        <v>702.86599999999999</v>
      </c>
      <c r="G51" s="130"/>
      <c r="H51" s="131"/>
      <c r="I51" s="131"/>
      <c r="J51" s="131"/>
      <c r="K51" s="131"/>
    </row>
    <row r="52" spans="1:11">
      <c r="A52" s="170" t="s">
        <v>224</v>
      </c>
      <c r="B52" s="166">
        <v>1074.2449999999999</v>
      </c>
      <c r="C52" s="166">
        <v>923.37800000000004</v>
      </c>
      <c r="D52" s="130">
        <v>1281.3920000000001</v>
      </c>
      <c r="E52" s="130">
        <v>697.66200000000003</v>
      </c>
      <c r="F52" s="130">
        <v>697.83799999999997</v>
      </c>
      <c r="G52" s="130"/>
      <c r="H52" s="131"/>
      <c r="I52" s="131"/>
      <c r="J52" s="131"/>
      <c r="K52" s="131"/>
    </row>
    <row r="53" spans="1:11">
      <c r="A53" s="170" t="s">
        <v>225</v>
      </c>
      <c r="B53" s="166">
        <v>1081.8320000000001</v>
      </c>
      <c r="C53" s="166">
        <v>925.87300000000005</v>
      </c>
      <c r="D53" s="130">
        <v>1287.6569999999999</v>
      </c>
      <c r="E53" s="130">
        <v>692.30499999999995</v>
      </c>
      <c r="F53" s="130">
        <v>698.73599999999999</v>
      </c>
      <c r="G53" s="130"/>
      <c r="H53" s="131"/>
      <c r="I53" s="131"/>
      <c r="J53" s="131"/>
      <c r="K53" s="131"/>
    </row>
    <row r="54" spans="1:11">
      <c r="D54" s="130"/>
      <c r="F54" s="130"/>
      <c r="G54" s="130"/>
      <c r="H54" s="131"/>
      <c r="I54" s="131"/>
      <c r="J54" s="131"/>
      <c r="K54" s="131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9E4D74-FC99-4A2B-8BE6-0E26371C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c49de858-f9fd-4eb6-bcba-50396646711f"/>
    <ds:schemaRef ds:uri="http://schemas.openxmlformats.org/package/2006/metadata/core-properties"/>
    <ds:schemaRef ds:uri="7818c5c2-d41f-4dce-801c-4e3595afcb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Figure 5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2022-12-12T19:57:34Z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