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300" windowWidth="11280" windowHeight="6870" activeTab="0"/>
  </bookViews>
  <sheets>
    <sheet name="full" sheetId="1" r:id="rId1"/>
    <sheet name="partial" sheetId="2" r:id="rId2"/>
    <sheet name="Sheet2" sheetId="3" r:id="rId3"/>
    <sheet name="Sheet3" sheetId="4" r:id="rId4"/>
  </sheets>
  <definedNames>
    <definedName name="TABLE" localSheetId="0">'full'!$G$21:$G$23</definedName>
    <definedName name="TABLE" localSheetId="1">'partial'!#REF!</definedName>
  </definedNames>
  <calcPr fullCalcOnLoad="1"/>
</workbook>
</file>

<file path=xl/comments1.xml><?xml version="1.0" encoding="utf-8"?>
<comments xmlns="http://schemas.openxmlformats.org/spreadsheetml/2006/main">
  <authors>
    <author>John Dyck</author>
    <author>USDA\ERS</author>
    <author> </author>
    <author>jdyck</author>
    <author>JDYCK</author>
  </authors>
  <commentList>
    <comment ref="F2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3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3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4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4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5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PS&amp;D, 8885 1000 pieces, times ratio of KREI FBS figure for 1999, 461.7 1000 tons, to PS&amp;D number for 1999, 8562 1000 pieces.
</t>
        </r>
      </text>
    </comment>
    <comment ref="F16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Pacific exchange rate service, 6/21/01.
http://pacific.commerce.ubc.ca/xr/data.html</t>
        </r>
      </text>
    </comment>
    <comment ref="F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4/05.  Korea ag exports, 2004.xls, D:/123data/briefing room/korea briefing room</t>
        </r>
      </text>
    </comment>
    <comment ref="F6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4/05.  Korea ag exports, 2004.xls, D:/123data/briefing rooms/korea briefing room.</t>
        </r>
      </text>
    </comment>
    <comment ref="F5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exports.xls, D:/123data/korproj</t>
        </r>
      </text>
    </comment>
    <comment ref="F6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6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6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6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7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7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7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7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6/01.  Korea ag imports.xls, D:/123data/korproj</t>
        </r>
      </text>
    </comment>
    <comment ref="F6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http://www.nso.go.kr/eng/info/figures/2001-4.pdf</t>
        </r>
      </text>
    </comment>
    <comment ref="G8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http://www.nso.go.kr/eng/searchable/e-speed.pdf</t>
        </r>
      </text>
    </comment>
    <comment ref="F8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http://www.nso.go.kr/eng/searchable/e-speed.pdf</t>
        </r>
      </text>
    </comment>
    <comment ref="F14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http://www.nso.go.kr/eng/searchable/e-speed.pdf</t>
        </r>
      </text>
    </comment>
    <comment ref="F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G16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Pacific exchange rate service, 7/29/02.
http://blacktusk.commerce.ubc.ca/cgi-bin/fxdata</t>
        </r>
      </text>
    </comment>
    <comment ref="G2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http://www.nso.go.kr/cgi-bin/sws_888.cgi</t>
        </r>
      </text>
    </comment>
    <comment ref="F2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http://www.nso.go.kr/cgi-bin/sws_888.cgi</t>
        </r>
      </text>
    </comment>
    <comment ref="F3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Agric. &amp; Forestry Stat. Yrbk., Field basis.</t>
        </r>
      </text>
    </comment>
    <comment ref="G3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G3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G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4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G4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G6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exports.xls, D:/123data/korproj</t>
        </r>
      </text>
    </comment>
    <comment ref="G5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exports.xls, D:/123data/korproj</t>
        </r>
      </text>
    </comment>
    <comment ref="G6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G2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G6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G6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G6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G7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G7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G7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G7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7/02.  Korea ag imports.xls, D:/123data/korproj</t>
        </r>
      </text>
    </comment>
    <comment ref="F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http://www.nso.go.kr/eng/info/figures/2001-4.pdf</t>
        </r>
      </text>
    </comment>
    <comment ref="G6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http://www.nso.go.kr/eng/info/figures/2001-4.pdf</t>
        </r>
      </text>
    </comment>
    <comment ref="H6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http://www.nso.go.kr/cgi-bin/sws_888.cgi?ID=DT_1E10A01&amp;IDTYPE=3&amp;A_LANG=2&amp;FPUB=4&amp;SELITEM=1</t>
        </r>
      </text>
    </comment>
    <comment ref="H8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http://www.nso.go.kr/cgi-bin/sws_888.cgi?ID=DT_1C01&amp;IDTYPE=3&amp;A_LANG=2&amp;FPUB=4&amp;SELITEM=</t>
        </r>
      </text>
    </comment>
    <comment ref="H21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http://www.nso.go.kr/cgi-bin/sws_888.cgi?ID=DT_1A5&amp;IDTYPE=3&amp;A_LANG=2&amp;FPUB=4&amp;SELITEM=</t>
        </r>
      </text>
    </comment>
    <comment ref="G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http://www.nso.go.kr/cgi-bin/sws_888.cgi?ID=DT_1E10A01&amp;IDTYPE=3&amp;A_LANG=2&amp;FPUB=4&amp;SELITEM=0</t>
        </r>
      </text>
    </comment>
    <comment ref="H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http://www.nso.go.kr/cgi-bin/sws_888.cgi?ID=DT_1E10A01&amp;IDTYPE=3&amp;A_LANG=2&amp;FPUB=4&amp;SELITEM=0</t>
        </r>
      </text>
    </comment>
    <comment ref="F2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MAF yrbk</t>
        </r>
      </text>
    </comment>
    <comment ref="F37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http://www.nso.go.kr/cgi-bin/sws_888.cgi</t>
        </r>
      </text>
    </comment>
    <comment ref="G37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http://www.nso.go.kr/cgi-bin/sws_888.cgi</t>
        </r>
      </text>
    </comment>
    <comment ref="F39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MAF Yrbk., 2001, pp. 102-14.</t>
        </r>
      </text>
    </comment>
    <comment ref="H6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6/03.  </t>
        </r>
      </text>
    </comment>
    <comment ref="H5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6/03.  </t>
        </r>
      </text>
    </comment>
    <comment ref="H6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H6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H6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H6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H7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H7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H75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H7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I21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http://www.maf.go.kr/english/asp/03_data/data01_0108.asp</t>
        </r>
      </text>
    </comment>
    <comment ref="I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http://www.nso.go.kr/cgi-bin/sws_888.cgi?ID=DT_1E10A01&amp;IDTYPE=3&amp;A_LANG=2&amp;FPUB=4&amp;SELITEM=0</t>
        </r>
      </text>
    </comment>
    <comment ref="H2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I2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G29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http://www.maf.go.kr/image/data_img/data/2003/B-5.pdf</t>
        </r>
      </text>
    </comment>
    <comment ref="H29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http://www.maf.go.kr/image/data_img/data/2003/B-5.pdf</t>
        </r>
      </text>
    </comment>
    <comment ref="G39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http://www.maf.go.kr/image/data_img/data/2003/B-5.pdf</t>
        </r>
      </text>
    </comment>
    <comment ref="H39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http://www.maf.go.kr/image/data_img/data/2003/B-5.pdf</t>
        </r>
      </text>
    </comment>
    <comment ref="H4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I4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G51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Materials on Price, Supply &amp; Demand of Livestock Products, 2003, p. 103.</t>
        </r>
      </text>
    </comment>
    <comment ref="H51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Materials on Price, Supply &amp; Demand of Livestock Products, 2003, p. 103.</t>
        </r>
      </text>
    </comment>
    <comment ref="I6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5/03.  Korea ag exports.xls, D:/123data/korproj</t>
        </r>
      </text>
    </comment>
    <comment ref="I6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http://www.nso.go.kr/cgi-bin/sws_888.cgi?ID=DT_1E10A01&amp;IDTYPE=3&amp;A_LANG=2&amp;FPUB=4&amp;SELITEM=1</t>
        </r>
      </text>
    </comment>
    <comment ref="J6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http://www.nso.go.kr/chttp://kosis.nso.go.kr/cgi-bin/sws_888.cgi?ID=DT_1E10A01&amp;IDTYPE=3&amp;A_LANG=2&amp;FPUB=4&amp;SELITEM=1, accessed 4/20/05.</t>
        </r>
      </text>
    </comment>
    <comment ref="J8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http://kosis.nso.go.kr/cgi-bin/sws_888.cgi?ID=DT_1C20001&amp;IDTYPE=3&amp;A_LANG=2&amp;FPUB=4&amp;SELITEM=, accessed 4/20/05.</t>
        </r>
      </text>
    </comment>
    <comment ref="J21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http://english.maf.go.kr/index.jsp, accessed 4/20/05.</t>
        </r>
      </text>
    </comment>
    <comment ref="J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http://www.nso.go.kr/cgi-bin/sws_888.cgi?ID=DT_1E10A01&amp;IDTYPE=3&amp;A_LANG=2&amp;FPUB=4&amp;SELITEM=0</t>
        </r>
      </text>
    </comment>
    <comment ref="I29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http://english.maf.go.kr/index.jsp, accessed 4/20/05.  Information and Statistics, yearbook, table V.2, p. 97.</t>
        </r>
      </text>
    </comment>
    <comment ref="I35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http://english.maf.go.kr/index.jsp, accessed 4/20/05.  Information and Statistics, yearbook, table V.2, p. 98.</t>
        </r>
      </text>
    </comment>
    <comment ref="I39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http://english.maf.go.kr/index.jsp, accessed 4/20/05.  Information and Statistics, yearbook, table V.2, p. 98.</t>
        </r>
      </text>
    </comment>
    <comment ref="G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4/05.  Korea ag exports, 2004.xls, D:/123data/briefing room/korea briefing room</t>
        </r>
      </text>
    </comment>
    <comment ref="H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4/05.  Korea ag exports, 2004.xls, D:/123data/briefing room/korea briefing room</t>
        </r>
      </text>
    </comment>
    <comment ref="I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4/05.  Korea ag exports, 2004.xls, D:/123data/briefing room/korea briefing room</t>
        </r>
      </text>
    </comment>
    <comment ref="J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4/05.  Korea ag exports, 2004.xls, D:/123data/briefing room/korea briefing room</t>
        </r>
      </text>
    </comment>
    <comment ref="A61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frozen and prepared, inc. offals, fat, salted/dried.  Not sausages (can't tell which meat).</t>
        </r>
      </text>
    </comment>
    <comment ref="J55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chapter 17.  WTA, accessed 4/26/05.</t>
        </r>
      </text>
    </comment>
    <comment ref="J63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korea ag imports, 1994, 2004.xls.</t>
        </r>
      </text>
    </comment>
    <comment ref="K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4/05.  Korea ag exports, 2004.xls, D:/123data/briefing room/korea briefing room</t>
        </r>
      </text>
    </comment>
    <comment ref="J39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MAF yearbook, accessed online on 3/28/06.</t>
        </r>
      </text>
    </comment>
    <comment ref="J37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MAF yearbook, accessed online on 3/28/06.</t>
        </r>
      </text>
    </comment>
    <comment ref="H37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MAF yearbook, accessed online on 3/28/06.</t>
        </r>
      </text>
    </comment>
    <comment ref="I37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MAF yearbook, accessed online on 3/28/06.</t>
        </r>
      </text>
    </comment>
    <comment ref="K1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http://ecos.bok.or.kr, accessed 3/29/06.  Bank of Korea.</t>
        </r>
      </text>
    </comment>
    <comment ref="K55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chapter 17.  WTA, accessed 3/27/06.</t>
        </r>
      </text>
    </comment>
    <comment ref="K37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KS6048, 5/1/2006, p. 12.  Citrus semi-annual.</t>
        </r>
      </text>
    </comment>
    <comment ref="F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http://kosis.nso.go.kr/cgi-bin/sws_888.cgi, 
june 5, 2007</t>
        </r>
      </text>
    </comment>
    <comment ref="G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http://kosis.nso.go.kr/cgi-bin/sws_888.cgi, 
june 5, 2007</t>
        </r>
      </text>
    </comment>
    <comment ref="H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http://kosis.nso.go.kr/cgi-bin/sws_888.cgi, 
june 5, 2007</t>
        </r>
      </text>
    </comment>
    <comment ref="I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http://kosis.nso.go.kr/cgi-bin/sws_888.cgi, 
june 5, 2007</t>
        </r>
      </text>
    </comment>
    <comment ref="J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http://kosis.nso.go.kr/cgi-bin/sws_888.cgi, 
june 5, 2007</t>
        </r>
      </text>
    </comment>
    <comment ref="K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http://kosis.nso.go.kr/cgi-bin/sws_888.cgi, 
june 5, 2007</t>
        </r>
      </text>
    </comment>
    <comment ref="L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K6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http://kosis.nso.go.kr/cgi-bin/sws_888.cgi?ID=DT_1NG0001&amp;IDTYPE=3&amp;A_LANG=2&amp;FPUB=4&amp;SELITEM=2</t>
        </r>
      </text>
    </comment>
    <comment ref="F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L16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http://ecos.bok.or.kr, june 5, 2007</t>
        </r>
      </text>
    </comment>
    <comment ref="K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http://www.nso.go.kr/cgi-bin/sws_888.cgi?ID=DT_1E10A01&amp;IDTYPE=3&amp;A_LANG=2&amp;FPUB=4&amp;SELITEM=0</t>
        </r>
      </text>
    </comment>
    <comment ref="L2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http://kosis.nso.go.kr/cgi-bin/sws_888.cgi?ID=DT_1A5&amp;IDTYPE=3&amp;A_LANG=2&amp;FPUB=4&amp;SELITEM=, june 5 2007</t>
        </r>
      </text>
    </comment>
    <comment ref="K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2006, p. 42.</t>
        </r>
      </text>
    </comment>
    <comment ref="F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2006, p. 42.</t>
        </r>
      </text>
    </comment>
    <comment ref="G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2006, p. 42.</t>
        </r>
      </text>
    </comment>
    <comment ref="H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2006, p. 42.</t>
        </r>
      </text>
    </comment>
    <comment ref="I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2006, p. 42.</t>
        </r>
      </text>
    </comment>
    <comment ref="J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2006, p. 42.</t>
        </r>
      </text>
    </comment>
    <comment ref="L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http://kosis.nso.go.kr/cgi-bin/sws_888.cgi?ID=DT_1A1&amp;IDTYPE=3&amp;A_LANG=2&amp;FPUB=4&amp;SELITEM=, june 5 2007</t>
        </r>
      </text>
    </comment>
    <comment ref="K3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MAF Yrbk., 2006, pp. 102-115.</t>
        </r>
      </text>
    </comment>
    <comment ref="K5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NACF, Materials on Price, Supply &amp; Demand of Livestock Products, 2007, p. 104.</t>
        </r>
      </text>
    </comment>
    <comment ref="L55" authorId="1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chapter 17.  WTA, accessed 6/6/06.</t>
        </r>
      </text>
    </comment>
    <comment ref="L6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2006.xls, D:/123data/briefing room/korea briefing room</t>
        </r>
      </text>
    </comment>
    <comment ref="L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2006.xls, D:/123data/briefing room/korea briefing room</t>
        </r>
      </text>
    </comment>
    <comment ref="L6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Statistical Yearbook, 2007, p. 31.</t>
        </r>
      </text>
    </comment>
    <comment ref="M16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http://ecos.bok.or.kr, may 20, 2008</t>
        </r>
      </text>
    </comment>
    <comment ref="L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http://www.nso.go.kr/www.kosis.kr, 5/20/08.</t>
        </r>
      </text>
    </comment>
    <comment ref="L2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2007, p. 97.  Rough barley less wheat.</t>
        </r>
      </text>
    </comment>
    <comment ref="L35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L37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KOSIS, 5/20/08.</t>
        </r>
      </text>
    </comment>
    <comment ref="L3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2007, pp. 102-15.</t>
        </r>
      </text>
    </comment>
    <comment ref="H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I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J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K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L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M47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L5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NACF, Materials on Price, Supply &amp; Demand of Livestock Products, 2007, p. 104.</t>
        </r>
      </text>
    </comment>
    <comment ref="M5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2007.xls, D:/123data/briefing room/korea briefing room</t>
        </r>
      </text>
    </comment>
    <comment ref="M6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2007.xls, D:/123data/briefing room/korea briefing room</t>
        </r>
      </text>
    </comment>
    <comment ref="M6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Statistical Yearbook, 2008, p. 33.</t>
        </r>
      </text>
    </comment>
    <comment ref="N16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6-1-09.</t>
        </r>
      </text>
    </comment>
    <comment ref="M2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2008, pp. 99-101.  Rough barley less wheat.</t>
        </r>
      </text>
    </comment>
    <comment ref="M3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2007, pp. 104-16.</t>
        </r>
      </text>
    </comment>
    <comment ref="M5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NACF, Materials on Price, Supply &amp; Demand of Livestock Products, 2008, p. 107.</t>
        </r>
      </text>
    </comment>
    <comment ref="N6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KNSO, on chart, using non-LAN computer, 6/8/09.</t>
        </r>
      </text>
    </comment>
    <comment ref="G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M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N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M2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N21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M19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M37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MIFAFF Yearbook, p. 118, 2008.</t>
        </r>
      </text>
    </comment>
    <comment ref="H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I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J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K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L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M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N14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5/18/10.</t>
        </r>
      </text>
    </comment>
    <comment ref="O1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Pacific, 5/14/10.</t>
        </r>
      </text>
    </comment>
    <comment ref="N2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2009, pp. 99-101.  Rough barley less wheat.</t>
        </r>
      </text>
    </comment>
    <comment ref="N37" authorId="4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MIFAFF Yearbook, p. 118, 2009.</t>
        </r>
      </text>
    </comment>
    <comment ref="N5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NACF, Materials on Price, Supply &amp; Demand of Livestock Products, 2009, p. 102.</t>
        </r>
      </text>
    </comment>
    <comment ref="O53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Korea ag exports, 2009.xlsx, worksheet A.</t>
        </r>
      </text>
    </comment>
    <comment ref="O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kostat.go.kr/eboard_faq/, accessed 5/18/10 on 2nd floor help desk non-LAN computer.</t>
        </r>
      </text>
    </comment>
    <comment ref="P53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Korea ag exports, 2010.xlsx, worksheet A.</t>
        </r>
      </text>
    </comment>
    <comment ref="P1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Pacific, 5/19/11.</t>
        </r>
      </text>
    </comment>
    <comment ref="O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2010, p. 44.</t>
        </r>
      </text>
    </comment>
    <comment ref="N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2010, p. 44.</t>
        </r>
      </text>
    </comment>
    <comment ref="O2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2010, p. 44.</t>
        </r>
      </text>
    </comment>
    <comment ref="O23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Ag&amp;forestry Yrbk, 2010, p.33.</t>
        </r>
      </text>
    </comment>
    <comment ref="O14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http://kosis.kr/nsieng/view/stat10.do, 5-19-11.</t>
        </r>
      </text>
    </comment>
    <comment ref="P14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http://kosis.kr/nsieng/view/stat10.do#, june 8, 2012</t>
        </r>
      </text>
    </comment>
    <comment ref="Q14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http://kosis.kr/nsieng/view/stat10.do#, june 8, 2012</t>
        </r>
      </text>
    </comment>
    <comment ref="M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N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O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P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Q4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P6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
june 8, 2012</t>
        </r>
      </text>
    </comment>
    <comment ref="Q6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
june 8, 2012</t>
        </r>
      </text>
    </comment>
    <comment ref="Q1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Pacific, 6/8/12.</t>
        </r>
      </text>
    </comment>
    <comment ref="P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2011, p. 44.</t>
        </r>
      </text>
    </comment>
    <comment ref="P23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2011, p. 3
4.</t>
        </r>
      </text>
    </comment>
    <comment ref="P2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2011, p. 3
4.</t>
        </r>
      </text>
    </comment>
    <comment ref="P2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2011, pp. 99-101.  Rough barley less wheat.</t>
        </r>
      </text>
    </comment>
    <comment ref="M35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N35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O35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P35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Q2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2012, pp. 99-101.  Rough barley less wheat.</t>
        </r>
      </text>
    </comment>
    <comment ref="Q35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2012, p. 100, field basis.</t>
        </r>
      </text>
    </comment>
    <comment ref="Q23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2012, p. 34.</t>
        </r>
      </text>
    </comment>
    <comment ref="Q2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2012, p. 44.</t>
        </r>
      </text>
    </comment>
    <comment ref="Q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2012, p. 44.</t>
        </r>
      </text>
    </comment>
    <comment ref="R4" authorId="3">
      <text>
        <r>
          <rPr>
            <b/>
            <sz val="9"/>
            <rFont val="Tahoma"/>
            <family val="0"/>
          </rPr>
          <t>jdyck:</t>
        </r>
        <r>
          <rPr>
            <sz val="9"/>
            <rFont val="Tahoma"/>
            <family val="0"/>
          </rPr>
          <t xml:space="preserve">
http://kostat.go.kr/portal/english/news/1/17/1/index.board?bmode=read&amp;bSeq=&amp;aSeq=273104&amp;pageNo=1&amp;rowNum=10&amp;navCount=10&amp;currPg=&amp;sTarget=title&amp;sTxt=, June 3, 2013.  Pop. For June 30, 2012.</t>
        </r>
      </text>
    </comment>
    <comment ref="Q3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2012, pp. 104-17.</t>
        </r>
      </text>
    </comment>
    <comment ref="Q37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2012, p. 118.</t>
        </r>
      </text>
    </comment>
    <comment ref="R14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IMF, April 2013 WEO.http://www.imf.org/external/pubs/ft/weo/2013/01/weodata/weorept.aspx?sy=2011&amp;ey=2018&amp;scsm=1&amp;ssd=1&amp;sort=country&amp;ds=.&amp;br=1&amp;c=542&amp;s=NGDP_RPCH&amp;grp=0&amp;a=&amp;pr.x=41&amp;pr.y=6</t>
        </r>
      </text>
    </comment>
    <comment ref="R6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
june 4, 2013</t>
        </r>
      </text>
    </comment>
    <comment ref="S4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http://kosis.kr/statHtml/statHtml.do?orgId=101&amp;tblId=DT_1B35001&amp;vw_cd=MT_ETITLE&amp;list_id=&amp;scrId=&amp;seqNo=&amp;language=en&amp;obj_var_id=&amp;itm_id=&amp;conn_path=A6&amp;path=%252Feng%252F,
May 27, 2014.</t>
        </r>
      </text>
    </comment>
    <comment ref="S6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http://kosis.kr/eng/statisticsList/statisticsList_01List.jsp?vwcd=MT_ETITLE&amp;parentId=F#SubCont, May 27, 2014</t>
        </r>
      </text>
    </comment>
    <comment ref="G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H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I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J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K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L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M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N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O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P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Q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R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S12" authorId="0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S14" authorId="3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http://www.imf.org/external/pubs/ft/weo/2014/01/pdf/tblparta.pdf,
May 27, 2014.</t>
        </r>
      </text>
    </comment>
    <comment ref="G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H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I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J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K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L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M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N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O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P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Q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R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S10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R35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2013, p. 98, field basis.</t>
        </r>
      </text>
    </comment>
    <comment ref="R37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2013, p. 116.</t>
        </r>
      </text>
    </comment>
    <comment ref="R3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2013, pp. 102-14.</t>
        </r>
      </text>
    </comment>
    <comment ref="R2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2012, pp. 99-101.  Rough barley less wheat.</t>
        </r>
      </text>
    </comment>
    <comment ref="R19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2013, p. 42.</t>
        </r>
      </text>
    </comment>
    <comment ref="R21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2013, p. 42.</t>
        </r>
      </text>
    </comment>
    <comment ref="R23" authorId="3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2013, p. 32.</t>
        </r>
      </text>
    </comment>
  </commentList>
</comments>
</file>

<file path=xl/comments2.xml><?xml version="1.0" encoding="utf-8"?>
<comments xmlns="http://schemas.openxmlformats.org/spreadsheetml/2006/main">
  <authors>
    <author>jdyck</author>
    <author>JDYCK</author>
    <author> </author>
    <author>John Dyck</author>
    <author>USDA\ERS</author>
  </authors>
  <commentList>
    <comment ref="E4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F4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G4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H4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I4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J4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http://kosis.kr/eng/search/search_001000.jsp, 
or http://kosis.kr/nsieng/view/stat10.do
june 8, 2012</t>
        </r>
      </text>
    </comment>
    <comment ref="K4" authorId="0">
      <text>
        <r>
          <rPr>
            <b/>
            <sz val="9"/>
            <rFont val="Tahoma"/>
            <family val="0"/>
          </rPr>
          <t>jdyck:</t>
        </r>
        <r>
          <rPr>
            <sz val="9"/>
            <rFont val="Tahoma"/>
            <family val="0"/>
          </rPr>
          <t xml:space="preserve">
http://kostat.go.kr/portal/english/news/1/17/1/index.board?bmode=read&amp;bSeq=&amp;aSeq=273104&amp;pageNo=1&amp;rowNum=10&amp;navCount=10&amp;currPg=&amp;sTarget=title&amp;sTxt=, June 3, 2013.  Pop. For June 30, 2012.</t>
        </r>
      </text>
    </comment>
    <comment ref="L4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http://kosis.kr/statHtml/statHtml.do?orgId=101&amp;tblId=DT_1B35001&amp;vw_cd=MT_ETITLE&amp;list_id=&amp;scrId=&amp;seqNo=&amp;language=en&amp;obj_var_id=&amp;itm_id=&amp;conn_path=A6&amp;path=%252Feng%252F,
May 27, 2014.</t>
        </r>
      </text>
    </comment>
    <comment ref="E6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Statistical Yearbook, 2007, p. 31.</t>
        </r>
      </text>
    </comment>
    <comment ref="F6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Statistical Yearbook, 2008, p. 33.</t>
        </r>
      </text>
    </comment>
    <comment ref="G6" authorId="1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KNSO, on chart, using non-LAN computer, 6/8/09.</t>
        </r>
      </text>
    </comment>
    <comment ref="H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kostat.go.kr/eboard_faq/, accessed 5/18/10 on 2nd floor help desk non-LAN computer.</t>
        </r>
      </text>
    </comment>
    <comment ref="I6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
june 8, 2012</t>
        </r>
      </text>
    </comment>
    <comment ref="J6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
june 8, 2012</t>
        </r>
      </text>
    </comment>
    <comment ref="K6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
june 4, 2013</t>
        </r>
      </text>
    </comment>
    <comment ref="L6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http://kosis.kr/eng/statisticsList/statisticsList_01List.jsp?vwcd=MT_ETITLE&amp;parentId=F#SubCont, May 27, 2014</t>
        </r>
      </text>
    </comment>
    <comment ref="E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F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G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H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I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J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K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L10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http://kosis.kr/statHtml/statHtml.do?orgId=301&amp;tblId=DT_102Y002&amp;vw_cd=MT_ETITLE&amp;list_id=&amp;scrId=&amp;seqNo=&amp;language=en&amp;obj_var_id=&amp;itm_id=&amp;conn_path=A6&amp;path=%252Feng%252F,
May 27, 2014</t>
        </r>
      </text>
    </comment>
    <comment ref="E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F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G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H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I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J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K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L12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http://kosis.kr/eng/statisticsList/statisticsList_01List.jsp?vwcd=MT_ETITLE&amp;parentId=L#SubCont, 
May 27, 2014</t>
        </r>
      </text>
    </comment>
    <comment ref="E14" authorId="1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F14" authorId="1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6/11/09.</t>
        </r>
      </text>
    </comment>
    <comment ref="G14" authorId="1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5/18/10.</t>
        </r>
      </text>
    </comment>
    <comment ref="H14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http://kosis.kr/nsieng/view/stat10.do, 5-19-11.</t>
        </r>
      </text>
    </comment>
    <comment ref="I14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http://kosis.kr/nsieng/view/stat10.do#, june 8, 2012</t>
        </r>
      </text>
    </comment>
    <comment ref="J14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http://kosis.kr/nsieng/view/stat10.do#, june 8, 2012</t>
        </r>
      </text>
    </comment>
    <comment ref="K14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IMF, April 2013 WEO.http://www.imf.org/external/pubs/ft/weo/2013/01/weodata/weorept.aspx?sy=2011&amp;ey=2018&amp;scsm=1&amp;ssd=1&amp;sort=country&amp;ds=.&amp;br=1&amp;c=542&amp;s=NGDP_RPCH&amp;grp=0&amp;a=&amp;pr.x=41&amp;pr.y=6</t>
        </r>
      </text>
    </comment>
    <comment ref="L14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http://www.imf.org/external/pubs/ft/weo/2014/01/pdf/tblparta.pdf,
May 27, 2014.</t>
        </r>
      </text>
    </comment>
    <comment ref="E16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http://ecos.bok.or.kr, june 5, 2007</t>
        </r>
      </text>
    </comment>
    <comment ref="F16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http://ecos.bok.or.kr, may 20, 2008</t>
        </r>
      </text>
    </comment>
    <comment ref="G16" authorId="1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http://ecos.bok.or.kr/EIndex_en.jsp, 6-1-09.</t>
        </r>
      </text>
    </comment>
    <comment ref="H1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Pacific, 5/14/10.</t>
        </r>
      </text>
    </comment>
    <comment ref="I1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Pacific, 5/19/11.</t>
        </r>
      </text>
    </comment>
    <comment ref="J16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Pacific, 6/8/12.</t>
        </r>
      </text>
    </comment>
    <comment ref="E1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http://kosis.nso.go.kr/cgi-bin/sws_888.cgi?ID=DT_1A1&amp;IDTYPE=3&amp;A_LANG=2&amp;FPUB=4&amp;SELITEM=, june 5 2007</t>
        </r>
      </text>
    </comment>
    <comment ref="F19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G1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2010, p. 44.</t>
        </r>
      </text>
    </comment>
    <comment ref="H1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2010, p. 44.</t>
        </r>
      </text>
    </comment>
    <comment ref="I1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2011, p. 44.</t>
        </r>
      </text>
    </comment>
    <comment ref="J1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2012, p. 44.</t>
        </r>
      </text>
    </comment>
    <comment ref="K1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2013, p. 42.</t>
        </r>
      </text>
    </comment>
    <comment ref="E2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http://kosis.nso.go.kr/cgi-bin/sws_888.cgi?ID=DT_1A5&amp;IDTYPE=3&amp;A_LANG=2&amp;FPUB=4&amp;SELITEM=, june 5 2007</t>
        </r>
      </text>
    </comment>
    <comment ref="F21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G21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H2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2010, p. 44.</t>
        </r>
      </text>
    </comment>
    <comment ref="I2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2011, p. 3
4.</t>
        </r>
      </text>
    </comment>
    <comment ref="J2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2012, p. 44.</t>
        </r>
      </text>
    </comment>
    <comment ref="K2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2013, p. 42.</t>
        </r>
      </text>
    </comment>
    <comment ref="E23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http://www.nso.go.kr/www.kosis.kr, 5/20/08.</t>
        </r>
      </text>
    </comment>
    <comment ref="F23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G23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Email from KOSIS, 6/60/09..</t>
        </r>
      </text>
    </comment>
    <comment ref="H23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area divided by number of households.  Ag&amp;forestry Yrbk, 2010, p.33.</t>
        </r>
      </text>
    </comment>
    <comment ref="I23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2011, p. 3
4.</t>
        </r>
      </text>
    </comment>
    <comment ref="J23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2012, p. 34.</t>
        </r>
      </text>
    </comment>
    <comment ref="K23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Agricultural &amp; Forestry Yearbook, 2013, p. 32.</t>
        </r>
      </text>
    </comment>
    <comment ref="E2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2007, p. 97.  Rough barley less wheat.</t>
        </r>
      </text>
    </comment>
    <comment ref="F2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2008, pp. 99-101.  Rough barley less wheat.</t>
        </r>
      </text>
    </comment>
    <comment ref="G2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2009, pp. 99-101.  Rough barley less wheat.</t>
        </r>
      </text>
    </comment>
    <comment ref="I2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2011, pp. 99-101.  Rough barley less wheat.</t>
        </r>
      </text>
    </comment>
    <comment ref="J2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2012, pp. 99-101.  Rough barley less wheat.</t>
        </r>
      </text>
    </comment>
    <comment ref="K2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Forestry Stat. Yrbk., 2012, pp. 99-101.  Rough barley less wheat.</t>
        </r>
      </text>
    </comment>
    <comment ref="E35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F35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G35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H35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I35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2011, p. 100, field basis.</t>
        </r>
      </text>
    </comment>
    <comment ref="J35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2012, p. 100, field basis.</t>
        </r>
      </text>
    </comment>
    <comment ref="K35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2013, p. 98, field basis.</t>
        </r>
      </text>
    </comment>
    <comment ref="E37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KOSIS, 5/20/08.</t>
        </r>
      </text>
    </comment>
    <comment ref="F37" authorId="1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MIFAFF Yearbook, p. 118, 2008.</t>
        </r>
      </text>
    </comment>
    <comment ref="G37" authorId="1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MIFAFF Yearbook, p. 118, 2009.</t>
        </r>
      </text>
    </comment>
    <comment ref="J37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2012, p. 118.</t>
        </r>
      </text>
    </comment>
    <comment ref="K37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2013, p. 116.</t>
        </r>
      </text>
    </comment>
    <comment ref="E3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2007, pp. 102-15.</t>
        </r>
      </text>
    </comment>
    <comment ref="F3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2007, pp. 104-16.</t>
        </r>
      </text>
    </comment>
    <comment ref="J3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2012, pp. 104-17.</t>
        </r>
      </text>
    </comment>
    <comment ref="K39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Agric. &amp; For. Stat. Yrbk., 2013, pp. 102-14.</t>
        </r>
      </text>
    </comment>
    <comment ref="E47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F47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USDA PS&amp;D</t>
        </r>
      </text>
    </comment>
    <comment ref="E5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NACF, Materials on Price, Supply &amp; Demand of Livestock Products, 2007, p. 104.</t>
        </r>
      </text>
    </comment>
    <comment ref="F5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NACF, Materials on Price, Supply &amp; Demand of Livestock Products, 2008, p. 107.</t>
        </r>
      </text>
    </comment>
    <comment ref="G51" authorId="0">
      <text>
        <r>
          <rPr>
            <b/>
            <sz val="8"/>
            <rFont val="Tahoma"/>
            <family val="2"/>
          </rPr>
          <t>jdyck:</t>
        </r>
        <r>
          <rPr>
            <sz val="8"/>
            <rFont val="Tahoma"/>
            <family val="2"/>
          </rPr>
          <t xml:space="preserve">
NACF, Materials on Price, Supply &amp; Demand of Livestock Products, 2009, p. 102.</t>
        </r>
      </text>
    </comment>
    <comment ref="E53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2006.xls, D:/123data/briefing room/korea briefing room</t>
        </r>
      </text>
    </comment>
    <comment ref="F53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2007.xls, D:/123data/briefing room/korea briefing room</t>
        </r>
      </text>
    </comment>
    <comment ref="H53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Korea ag exports, 2009.xlsx, worksheet A.</t>
        </r>
      </text>
    </comment>
    <comment ref="I53" authorId="2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Korea ag exports, 2010.xlsx, worksheet A.</t>
        </r>
      </text>
    </comment>
    <comment ref="E55" authorId="4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chapter 17.  WTA, accessed 6/6/06.</t>
        </r>
      </text>
    </comment>
    <comment ref="A61" authorId="4">
      <text>
        <r>
          <rPr>
            <b/>
            <sz val="8"/>
            <rFont val="Tahoma"/>
            <family val="2"/>
          </rPr>
          <t>USDA\ERS:</t>
        </r>
        <r>
          <rPr>
            <sz val="8"/>
            <rFont val="Tahoma"/>
            <family val="2"/>
          </rPr>
          <t xml:space="preserve">
frozen and prepared, inc. offals, fat, salted/dried.  Not sausages (can't tell which meat).</t>
        </r>
      </text>
    </comment>
    <comment ref="E61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2006.xls, D:/123data/briefing room/korea briefing room</t>
        </r>
      </text>
    </comment>
    <comment ref="F61" authorId="3">
      <text>
        <r>
          <rPr>
            <b/>
            <sz val="8"/>
            <rFont val="Tahoma"/>
            <family val="2"/>
          </rPr>
          <t>John Dyck:</t>
        </r>
        <r>
          <rPr>
            <sz val="8"/>
            <rFont val="Tahoma"/>
            <family val="2"/>
          </rPr>
          <t xml:space="preserve">
World Trade Atlas, GTI, 6/07.  Korea ag exports, 2007.xls, D:/123data/briefing room/korea briefing room</t>
        </r>
      </text>
    </comment>
  </commentList>
</comments>
</file>

<file path=xl/sharedStrings.xml><?xml version="1.0" encoding="utf-8"?>
<sst xmlns="http://schemas.openxmlformats.org/spreadsheetml/2006/main" count="107" uniqueCount="45">
  <si>
    <t>Key statistics</t>
  </si>
  <si>
    <t xml:space="preserve">                       Barley, unhulled</t>
  </si>
  <si>
    <t xml:space="preserve">                       Potatoes, white and sweet</t>
  </si>
  <si>
    <t xml:space="preserve">                       Fruits</t>
  </si>
  <si>
    <t xml:space="preserve">                       Vegetables</t>
  </si>
  <si>
    <t xml:space="preserve">                       Beef, carcass weight</t>
  </si>
  <si>
    <t xml:space="preserve">                       Pork, carcass weight</t>
  </si>
  <si>
    <t xml:space="preserve">                       Milk</t>
  </si>
  <si>
    <t xml:space="preserve">                       Eggs</t>
  </si>
  <si>
    <t xml:space="preserve">                       Pork</t>
  </si>
  <si>
    <t xml:space="preserve">                       Refined sugar; confectionery products</t>
  </si>
  <si>
    <t xml:space="preserve">                       Corn </t>
  </si>
  <si>
    <t xml:space="preserve">                       Wheat</t>
  </si>
  <si>
    <t xml:space="preserve">                       Cotton</t>
  </si>
  <si>
    <t xml:space="preserve">                       Hides/skins</t>
  </si>
  <si>
    <t xml:space="preserve">                       Beef</t>
  </si>
  <si>
    <t xml:space="preserve">                       Soybeans </t>
  </si>
  <si>
    <t>Population (million persons):</t>
  </si>
  <si>
    <t>Gross domestic product (billion US$)</t>
  </si>
  <si>
    <t xml:space="preserve">Land area </t>
  </si>
  <si>
    <t>Total (million hectares)</t>
  </si>
  <si>
    <t>Share of total population on farms (percent)</t>
  </si>
  <si>
    <t>Exchange rate, won/US$</t>
  </si>
  <si>
    <t>Average cultivated area per farm household (hectares)</t>
  </si>
  <si>
    <t>Agricultural exports (million US$)</t>
  </si>
  <si>
    <t>Agricultural imports (million US$)</t>
  </si>
  <si>
    <t>Principal crops (1,000 mt)</t>
  </si>
  <si>
    <t>Livestock production (1,000 mt)</t>
  </si>
  <si>
    <t xml:space="preserve">                       Soybeans</t>
  </si>
  <si>
    <t xml:space="preserve">                       Rice, milled</t>
  </si>
  <si>
    <t>Calendar year</t>
  </si>
  <si>
    <t>Area of cultivated land (million hectares)</t>
  </si>
  <si>
    <t xml:space="preserve">                       Broiler meat</t>
  </si>
  <si>
    <t>NA</t>
  </si>
  <si>
    <t>Growth rate, at 2000 prices (percent)</t>
  </si>
  <si>
    <t>Per person (gross national income, US$)</t>
  </si>
  <si>
    <t xml:space="preserve">                       Pork and offals and preps.</t>
  </si>
  <si>
    <t>Rubber, natural</t>
  </si>
  <si>
    <t>Ramen noodles</t>
  </si>
  <si>
    <t>PACIFIC Exchange Rate Service</t>
  </si>
  <si>
    <t>MMM YYYY</t>
  </si>
  <si>
    <t>KRW/USD</t>
  </si>
  <si>
    <t>(C) 2012 Prof. Werner Antweiler, UBC</t>
  </si>
  <si>
    <t>Coffee products</t>
  </si>
  <si>
    <t>Gross domestic product (trillion won)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</si>
</sst>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#,##0.0"/>
    <numFmt numFmtId="167" formatCode="#,##0_ "/>
    <numFmt numFmtId="168" formatCode="#,##0.0_ "/>
    <numFmt numFmtId="169" formatCode="###,##0"/>
    <numFmt numFmtId="170" formatCode="#,##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굴림"/>
      <family val="0"/>
    </font>
    <font>
      <sz val="10"/>
      <color indexed="8"/>
      <name val="Arial"/>
      <family val="2"/>
    </font>
    <font>
      <b/>
      <sz val="10"/>
      <color indexed="63"/>
      <name val="Arial Unicode MS"/>
      <family val="2"/>
    </font>
    <font>
      <sz val="8"/>
      <color indexed="63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Verdana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33"/>
      <name val="Arial Unicode MS"/>
      <family val="2"/>
    </font>
    <font>
      <sz val="8"/>
      <color rgb="FF333333"/>
      <name val="Verdan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vertical="top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164" fontId="0" fillId="0" borderId="0" xfId="0" applyNumberFormat="1" applyAlignment="1">
      <alignment/>
    </xf>
    <xf numFmtId="3" fontId="5" fillId="33" borderId="0" xfId="0" applyNumberFormat="1" applyFont="1" applyFill="1" applyAlignment="1">
      <alignment horizontal="right" wrapText="1"/>
    </xf>
    <xf numFmtId="166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 horizontal="right" vertical="top"/>
    </xf>
    <xf numFmtId="17" fontId="7" fillId="33" borderId="11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right" wrapText="1"/>
    </xf>
    <xf numFmtId="17" fontId="47" fillId="34" borderId="12" xfId="0" applyNumberFormat="1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 wrapText="1"/>
    </xf>
    <xf numFmtId="166" fontId="0" fillId="0" borderId="0" xfId="0" applyNumberFormat="1" applyAlignment="1">
      <alignment/>
    </xf>
    <xf numFmtId="0" fontId="30" fillId="0" borderId="0" xfId="55">
      <alignment/>
      <protection/>
    </xf>
    <xf numFmtId="17" fontId="30" fillId="0" borderId="0" xfId="55" applyNumberFormat="1">
      <alignment/>
      <protection/>
    </xf>
    <xf numFmtId="168" fontId="0" fillId="0" borderId="13" xfId="0" applyNumberFormat="1" applyFont="1" applyFill="1" applyBorder="1" applyAlignment="1">
      <alignment horizontal="right" wrapText="1"/>
    </xf>
    <xf numFmtId="167" fontId="0" fillId="0" borderId="0" xfId="0" applyNumberFormat="1" applyFont="1" applyBorder="1" applyAlignment="1">
      <alignment horizontal="right" wrapText="1"/>
    </xf>
    <xf numFmtId="169" fontId="0" fillId="33" borderId="0" xfId="0" applyNumberFormat="1" applyFont="1" applyFill="1" applyBorder="1" applyAlignment="1">
      <alignment horizontal="right" vertical="center" wrapText="1"/>
    </xf>
    <xf numFmtId="168" fontId="0" fillId="0" borderId="14" xfId="0" applyNumberFormat="1" applyFont="1" applyFill="1" applyBorder="1" applyAlignment="1">
      <alignment horizontal="right" wrapText="1"/>
    </xf>
    <xf numFmtId="168" fontId="0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0" fontId="47" fillId="35" borderId="12" xfId="0" applyFont="1" applyFill="1" applyBorder="1" applyAlignment="1">
      <alignment horizontal="left" vertical="center" wrapText="1"/>
    </xf>
    <xf numFmtId="0" fontId="48" fillId="34" borderId="12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168" fontId="0" fillId="0" borderId="0" xfId="0" applyNumberFormat="1" applyFont="1" applyFill="1" applyBorder="1" applyAlignment="1">
      <alignment horizontal="right" wrapText="1"/>
    </xf>
    <xf numFmtId="3" fontId="0" fillId="36" borderId="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0" fontId="49" fillId="0" borderId="0" xfId="0" applyFont="1" applyAlignment="1" quotePrefix="1">
      <alignment horizontal="left"/>
    </xf>
    <xf numFmtId="0" fontId="49" fillId="0" borderId="0" xfId="0" applyFont="1" applyAlignment="1">
      <alignment/>
    </xf>
    <xf numFmtId="0" fontId="0" fillId="0" borderId="0" xfId="0" applyAlignment="1" quotePrefix="1">
      <alignment horizontal="left" wrapText="1"/>
    </xf>
    <xf numFmtId="0" fontId="0" fillId="0" borderId="0" xfId="0" applyAlignment="1">
      <alignment/>
    </xf>
    <xf numFmtId="0" fontId="0" fillId="0" borderId="0" xfId="0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0" sqref="D40"/>
    </sheetView>
  </sheetViews>
  <sheetFormatPr defaultColWidth="9.140625" defaultRowHeight="12.75"/>
  <cols>
    <col min="1" max="1" width="4.28125" style="0" customWidth="1"/>
    <col min="3" max="3" width="30.7109375" style="0" customWidth="1"/>
    <col min="4" max="4" width="16.00390625" style="0" customWidth="1"/>
    <col min="5" max="5" width="17.7109375" style="0" customWidth="1"/>
    <col min="6" max="6" width="12.57421875" style="0" bestFit="1" customWidth="1"/>
    <col min="9" max="9" width="9.140625" style="9" customWidth="1"/>
    <col min="11" max="11" width="9.7109375" style="0" customWidth="1"/>
    <col min="12" max="12" width="9.421875" style="0" customWidth="1"/>
  </cols>
  <sheetData>
    <row r="1" spans="1:13" ht="12.75">
      <c r="A1" t="s">
        <v>0</v>
      </c>
      <c r="F1" s="21"/>
      <c r="G1" s="21"/>
      <c r="H1" s="21"/>
      <c r="I1" s="21"/>
      <c r="J1" s="21"/>
      <c r="K1" s="21"/>
      <c r="L1" s="21"/>
      <c r="M1" s="21"/>
    </row>
    <row r="2" spans="6:7" ht="12.75">
      <c r="F2" s="4"/>
      <c r="G2" s="4" t="s">
        <v>30</v>
      </c>
    </row>
    <row r="3" spans="6:19" ht="12.75">
      <c r="F3" s="6">
        <v>2000</v>
      </c>
      <c r="G3" s="6">
        <v>2001</v>
      </c>
      <c r="H3" s="6">
        <v>2002</v>
      </c>
      <c r="I3" s="18">
        <v>2003</v>
      </c>
      <c r="J3" s="19">
        <v>2004</v>
      </c>
      <c r="K3" s="19">
        <v>2005</v>
      </c>
      <c r="L3" s="19">
        <v>2006</v>
      </c>
      <c r="M3" s="28">
        <v>2007</v>
      </c>
      <c r="N3" s="28">
        <v>2008</v>
      </c>
      <c r="O3" s="28">
        <v>2009</v>
      </c>
      <c r="P3" s="28">
        <v>2010</v>
      </c>
      <c r="Q3" s="28">
        <v>2011</v>
      </c>
      <c r="R3" s="28">
        <v>2012</v>
      </c>
      <c r="S3" s="28">
        <v>2013</v>
      </c>
    </row>
    <row r="4" spans="1:19" ht="12.75">
      <c r="A4" s="3" t="s">
        <v>17</v>
      </c>
      <c r="F4" s="7">
        <v>47.008</v>
      </c>
      <c r="G4" s="7">
        <v>47.357</v>
      </c>
      <c r="H4" s="7">
        <v>47.622</v>
      </c>
      <c r="I4" s="11">
        <v>47.859</v>
      </c>
      <c r="J4" s="7">
        <v>48.039</v>
      </c>
      <c r="K4" s="23">
        <v>48.138077</v>
      </c>
      <c r="L4" s="23">
        <v>48.371946</v>
      </c>
      <c r="M4" s="7">
        <v>48.597652</v>
      </c>
      <c r="N4" s="7">
        <v>48.948698</v>
      </c>
      <c r="O4" s="7">
        <v>49.182038</v>
      </c>
      <c r="P4" s="7">
        <v>49.410366</v>
      </c>
      <c r="Q4" s="7">
        <v>49.77944</v>
      </c>
      <c r="R4" s="7">
        <v>50.004</v>
      </c>
      <c r="S4" s="7">
        <v>50.219669</v>
      </c>
    </row>
    <row r="5" ht="12.75">
      <c r="A5" s="3"/>
    </row>
    <row r="6" spans="2:19" ht="12.75">
      <c r="B6" s="3" t="s">
        <v>21</v>
      </c>
      <c r="F6" s="11">
        <f>4.031/F4*100</f>
        <v>8.575136147038801</v>
      </c>
      <c r="G6" s="11">
        <f>3.933/G4*100</f>
        <v>8.305002428363283</v>
      </c>
      <c r="H6" s="11">
        <f>3.591/H4*100</f>
        <v>7.540632480786192</v>
      </c>
      <c r="I6" s="11">
        <f>3.53/I4*100</f>
        <v>7.375833176622996</v>
      </c>
      <c r="J6" s="11">
        <f>3.415/J4*100</f>
        <v>7.108807427298654</v>
      </c>
      <c r="K6" s="22">
        <f>3.433573/K4*100</f>
        <v>7.132758959191493</v>
      </c>
      <c r="L6" s="27">
        <v>6.8</v>
      </c>
      <c r="M6" s="9">
        <v>6.8</v>
      </c>
      <c r="N6">
        <v>6.6</v>
      </c>
      <c r="O6" s="34">
        <v>6.4</v>
      </c>
      <c r="P6" s="36">
        <f>3.062956/P4*100</f>
        <v>6.199015000212707</v>
      </c>
      <c r="Q6" s="36">
        <f>2.962113/Q4*100</f>
        <v>5.95047473414727</v>
      </c>
      <c r="R6" s="36">
        <f>2.91154/R4*100</f>
        <v>5.822614190864731</v>
      </c>
      <c r="S6" s="7">
        <f>2.847435/S4*100</f>
        <v>5.66995971239874</v>
      </c>
    </row>
    <row r="7" ht="12.75"/>
    <row r="8" spans="1:19" ht="12.75">
      <c r="A8" s="3" t="s">
        <v>18</v>
      </c>
      <c r="F8" s="5">
        <v>511.8</v>
      </c>
      <c r="G8" s="5">
        <v>482</v>
      </c>
      <c r="H8" s="5">
        <v>546.9</v>
      </c>
      <c r="I8" s="8">
        <v>608</v>
      </c>
      <c r="J8" s="5">
        <v>680.1</v>
      </c>
      <c r="K8" s="5">
        <f aca="true" t="shared" si="0" ref="K8:S8">K12/K16*1000</f>
        <v>898.0027727064153</v>
      </c>
      <c r="L8" s="5">
        <f t="shared" si="0"/>
        <v>1011.046153846154</v>
      </c>
      <c r="M8" s="1">
        <f t="shared" si="0"/>
        <v>1122.6758926457612</v>
      </c>
      <c r="N8" s="5">
        <f t="shared" si="0"/>
        <v>1002.2615245009074</v>
      </c>
      <c r="O8" s="5">
        <f t="shared" si="0"/>
        <v>902.1681027729908</v>
      </c>
      <c r="P8" s="1">
        <f t="shared" si="0"/>
        <v>1094.588340324594</v>
      </c>
      <c r="Q8" s="1">
        <f t="shared" si="0"/>
        <v>1202.6992757710443</v>
      </c>
      <c r="R8" s="1">
        <f t="shared" si="0"/>
        <v>1222.9568875279335</v>
      </c>
      <c r="S8" s="1">
        <f t="shared" si="0"/>
        <v>1304.765889419234</v>
      </c>
    </row>
    <row r="9" ht="12.75">
      <c r="A9" s="3"/>
    </row>
    <row r="10" spans="1:19" ht="12.75">
      <c r="A10" s="3"/>
      <c r="B10" s="3" t="s">
        <v>35</v>
      </c>
      <c r="F10" s="43">
        <v>11865.3</v>
      </c>
      <c r="G10" s="43">
        <v>11180.2</v>
      </c>
      <c r="H10" s="43">
        <v>12735.4</v>
      </c>
      <c r="I10" s="43">
        <v>14160.9</v>
      </c>
      <c r="J10" s="43">
        <v>15898.3</v>
      </c>
      <c r="K10" s="43">
        <v>18508.2</v>
      </c>
      <c r="L10" s="44">
        <v>20823.2</v>
      </c>
      <c r="M10" s="44">
        <v>23032.8</v>
      </c>
      <c r="N10" s="44">
        <v>20463.4</v>
      </c>
      <c r="O10" s="44">
        <v>18302.9</v>
      </c>
      <c r="P10" s="44">
        <v>22169.7</v>
      </c>
      <c r="Q10" s="54">
        <v>24302.1</v>
      </c>
      <c r="R10" s="54">
        <v>24696</v>
      </c>
      <c r="S10" s="1">
        <v>26204.7</v>
      </c>
    </row>
    <row r="11" ht="12.75">
      <c r="A11" s="3"/>
    </row>
    <row r="12" spans="1:19" ht="12.75">
      <c r="A12" s="3" t="s">
        <v>44</v>
      </c>
      <c r="B12" s="56"/>
      <c r="F12" s="5">
        <v>635.1846</v>
      </c>
      <c r="G12" s="5">
        <v>688.1649</v>
      </c>
      <c r="H12" s="5">
        <v>761.9389</v>
      </c>
      <c r="I12" s="8">
        <v>810.9153</v>
      </c>
      <c r="J12" s="5">
        <v>876.0331</v>
      </c>
      <c r="K12" s="24">
        <v>919.7973</v>
      </c>
      <c r="L12" s="24">
        <v>966.0546</v>
      </c>
      <c r="M12" s="5">
        <v>1043.2578</v>
      </c>
      <c r="N12" s="1">
        <v>1104.4922</v>
      </c>
      <c r="O12" s="1">
        <v>1151.7078</v>
      </c>
      <c r="P12" s="1">
        <v>1265.308</v>
      </c>
      <c r="Q12" s="52">
        <v>1332.681</v>
      </c>
      <c r="R12" s="52">
        <v>1377.4567</v>
      </c>
      <c r="S12" s="1">
        <v>1428.2946</v>
      </c>
    </row>
    <row r="13" spans="1:3" ht="12.75">
      <c r="A13" s="3"/>
      <c r="C13" s="57"/>
    </row>
    <row r="14" spans="1:19" ht="12.75">
      <c r="A14" s="3"/>
      <c r="B14" s="3" t="s">
        <v>34</v>
      </c>
      <c r="F14" s="35">
        <v>8.5</v>
      </c>
      <c r="G14" s="46">
        <v>4</v>
      </c>
      <c r="H14" s="46">
        <v>7.2</v>
      </c>
      <c r="I14" s="46">
        <v>2.8</v>
      </c>
      <c r="J14" s="46">
        <v>4.6</v>
      </c>
      <c r="K14" s="46">
        <v>4</v>
      </c>
      <c r="L14" s="46">
        <v>5.2</v>
      </c>
      <c r="M14" s="46">
        <v>5.1</v>
      </c>
      <c r="N14" s="46">
        <v>2.3</v>
      </c>
      <c r="O14" s="45">
        <v>0.3</v>
      </c>
      <c r="P14" s="36">
        <v>6.3</v>
      </c>
      <c r="Q14" s="42">
        <v>3.6</v>
      </c>
      <c r="R14" s="53">
        <v>2.022</v>
      </c>
      <c r="S14" s="53">
        <v>2.8</v>
      </c>
    </row>
    <row r="15" spans="1:17" ht="12.75">
      <c r="A15" s="3"/>
      <c r="F15" s="35"/>
      <c r="G15" s="35"/>
      <c r="H15" s="35"/>
      <c r="I15" s="34"/>
      <c r="J15" s="35"/>
      <c r="K15" s="35"/>
      <c r="L15" s="35"/>
      <c r="M15" s="35"/>
      <c r="N15" s="35"/>
      <c r="O15" s="35"/>
      <c r="P15" s="35"/>
      <c r="Q15" s="35"/>
    </row>
    <row r="16" spans="1:19" ht="12.75">
      <c r="A16" s="2" t="s">
        <v>22</v>
      </c>
      <c r="B16" s="3"/>
      <c r="F16" s="1">
        <v>1131</v>
      </c>
      <c r="G16" s="1">
        <v>1289.008</v>
      </c>
      <c r="H16" s="1">
        <v>1246.3</v>
      </c>
      <c r="I16" s="12">
        <v>1191.5</v>
      </c>
      <c r="J16" s="1">
        <v>1145.467</v>
      </c>
      <c r="K16" s="1">
        <v>1024.27</v>
      </c>
      <c r="L16" s="1">
        <v>955.5</v>
      </c>
      <c r="M16" s="1">
        <v>929.26</v>
      </c>
      <c r="N16" s="1">
        <v>1102</v>
      </c>
      <c r="O16" s="1">
        <v>1276.6</v>
      </c>
      <c r="P16" s="1">
        <v>1155.967</v>
      </c>
      <c r="Q16" s="1">
        <v>1108.075</v>
      </c>
      <c r="R16" s="1">
        <v>1126.333</v>
      </c>
      <c r="S16" s="1">
        <v>1094.675</v>
      </c>
    </row>
    <row r="17" ht="12.75"/>
    <row r="18" ht="12.75">
      <c r="A18" s="3" t="s">
        <v>19</v>
      </c>
    </row>
    <row r="19" spans="2:19" ht="12.75">
      <c r="B19" s="3" t="s">
        <v>20</v>
      </c>
      <c r="F19" s="9">
        <v>9.946</v>
      </c>
      <c r="G19" s="9">
        <v>9.954</v>
      </c>
      <c r="H19" s="15">
        <v>9.959</v>
      </c>
      <c r="I19" s="15">
        <v>9.96</v>
      </c>
      <c r="J19" s="9">
        <v>9.962</v>
      </c>
      <c r="K19" s="15">
        <v>9.965</v>
      </c>
      <c r="L19" s="15">
        <v>9.968</v>
      </c>
      <c r="M19" s="15">
        <v>9.972</v>
      </c>
      <c r="N19" s="15">
        <v>9.982</v>
      </c>
      <c r="O19" s="15">
        <v>9.989741</v>
      </c>
      <c r="P19" s="37">
        <v>10.0021221</v>
      </c>
      <c r="Q19" s="49">
        <v>10.014822</v>
      </c>
      <c r="R19" s="15">
        <v>10.018808</v>
      </c>
      <c r="S19" s="9" t="s">
        <v>33</v>
      </c>
    </row>
    <row r="20" spans="7:16" ht="12.75">
      <c r="G20" s="9"/>
      <c r="H20" s="9"/>
      <c r="P20" s="39"/>
    </row>
    <row r="21" spans="2:19" ht="15.75" customHeight="1">
      <c r="B21" s="60" t="s">
        <v>31</v>
      </c>
      <c r="C21" s="61"/>
      <c r="D21" s="61"/>
      <c r="F21" s="14">
        <v>1.888765</v>
      </c>
      <c r="G21" s="16">
        <v>1.876142</v>
      </c>
      <c r="H21" s="15">
        <v>1.862622</v>
      </c>
      <c r="I21" s="15">
        <v>1.846</v>
      </c>
      <c r="J21" s="20">
        <v>1.8356</v>
      </c>
      <c r="K21" s="15">
        <v>1.824</v>
      </c>
      <c r="L21" s="15">
        <v>1.80047</v>
      </c>
      <c r="M21" s="15">
        <v>1.781579</v>
      </c>
      <c r="N21" s="15">
        <v>1.758795</v>
      </c>
      <c r="O21" s="15">
        <v>1.736798</v>
      </c>
      <c r="P21" s="37">
        <v>1.715301</v>
      </c>
      <c r="Q21" s="9">
        <v>1.698</v>
      </c>
      <c r="R21" s="15">
        <v>1.729982</v>
      </c>
      <c r="S21" s="9" t="s">
        <v>33</v>
      </c>
    </row>
    <row r="22" spans="2:13" ht="15.75" customHeight="1">
      <c r="B22" s="25"/>
      <c r="C22" s="26"/>
      <c r="D22" s="26"/>
      <c r="F22" s="14"/>
      <c r="G22" s="16"/>
      <c r="H22" s="15"/>
      <c r="I22" s="15"/>
      <c r="J22" s="20"/>
      <c r="K22" s="15"/>
      <c r="L22" s="15"/>
      <c r="M22" s="15"/>
    </row>
    <row r="23" spans="2:19" ht="12.75">
      <c r="B23" s="58" t="s">
        <v>23</v>
      </c>
      <c r="C23" s="59"/>
      <c r="D23" s="59"/>
      <c r="F23" s="10">
        <f>F21/1384*1000</f>
        <v>1.3647145953757227</v>
      </c>
      <c r="G23" s="10">
        <f>G21/1353.687*1000</f>
        <v>1.3859496323743967</v>
      </c>
      <c r="H23" s="10">
        <f>H21/1280.462*1000</f>
        <v>1.4546484003430011</v>
      </c>
      <c r="I23" s="10">
        <f>I21/1264*1000</f>
        <v>1.4604430379746836</v>
      </c>
      <c r="J23" s="10">
        <f>J21/1240*1000</f>
        <v>1.4803225806451612</v>
      </c>
      <c r="K23" s="10">
        <f>K21/1273*1000</f>
        <v>1.4328358208955225</v>
      </c>
      <c r="L23" s="10">
        <f>L21/1245*1000</f>
        <v>1.4461606425702813</v>
      </c>
      <c r="M23" s="10">
        <f>M21/1231*1000</f>
        <v>1.4472615759545084</v>
      </c>
      <c r="N23" s="10">
        <f>N21/1212*1000</f>
        <v>1.45115099009901</v>
      </c>
      <c r="O23" s="10">
        <f>O21/1195*1000</f>
        <v>1.4533874476987447</v>
      </c>
      <c r="P23" s="34">
        <v>1.46</v>
      </c>
      <c r="Q23" s="9">
        <v>1.46</v>
      </c>
      <c r="R23" s="55">
        <v>1.5</v>
      </c>
      <c r="S23" s="9" t="s">
        <v>33</v>
      </c>
    </row>
    <row r="24" ht="12.75">
      <c r="G24" s="17"/>
    </row>
    <row r="25" ht="12.75">
      <c r="A25" s="3" t="s">
        <v>26</v>
      </c>
    </row>
    <row r="26" ht="12.75">
      <c r="A26" s="3"/>
    </row>
    <row r="27" spans="1:19" ht="12.75">
      <c r="A27" s="3" t="s">
        <v>29</v>
      </c>
      <c r="F27" s="1">
        <v>5291</v>
      </c>
      <c r="G27" s="13">
        <v>5515</v>
      </c>
      <c r="H27" s="1">
        <v>4927</v>
      </c>
      <c r="I27" s="12">
        <v>4451</v>
      </c>
      <c r="J27" s="1">
        <v>5000</v>
      </c>
      <c r="K27" s="1">
        <v>4768</v>
      </c>
      <c r="L27" s="1">
        <v>4680</v>
      </c>
      <c r="M27" s="1">
        <v>4408</v>
      </c>
      <c r="N27" s="1">
        <v>4843</v>
      </c>
      <c r="O27" s="1">
        <v>4916</v>
      </c>
      <c r="P27" s="1">
        <v>4295</v>
      </c>
      <c r="Q27" s="1">
        <v>4224</v>
      </c>
      <c r="R27" s="1">
        <v>4006</v>
      </c>
      <c r="S27" s="1">
        <v>4230</v>
      </c>
    </row>
    <row r="28" ht="12.75"/>
    <row r="29" spans="1:19" ht="12.75">
      <c r="A29" t="s">
        <v>1</v>
      </c>
      <c r="F29" s="8">
        <f>228.9-2.3</f>
        <v>226.6</v>
      </c>
      <c r="G29" s="8">
        <f>385.7-2.8</f>
        <v>382.9</v>
      </c>
      <c r="H29" s="8">
        <f>304.6-5.8</f>
        <v>298.8</v>
      </c>
      <c r="I29" s="12">
        <f>230.2-10</f>
        <v>220.2</v>
      </c>
      <c r="J29" s="8">
        <f>261.8-12.6</f>
        <v>249.20000000000002</v>
      </c>
      <c r="K29" s="8">
        <f>279.777-7.678</f>
        <v>272.099</v>
      </c>
      <c r="L29" s="29">
        <f>213.806-5.81</f>
        <v>207.996</v>
      </c>
      <c r="M29" s="9">
        <v>230</v>
      </c>
      <c r="N29" s="9">
        <v>241</v>
      </c>
      <c r="O29" s="5">
        <f>229.595-18.782</f>
        <v>210.813</v>
      </c>
      <c r="P29" s="5">
        <f>155.567-39.116</f>
        <v>116.45100000000001</v>
      </c>
      <c r="Q29" s="48">
        <f>152.886-43.677</f>
        <v>109.209</v>
      </c>
      <c r="R29" s="5">
        <f>121.54-37.014</f>
        <v>84.52600000000001</v>
      </c>
      <c r="S29" s="9" t="s">
        <v>33</v>
      </c>
    </row>
    <row r="30" spans="7:9" ht="12.75">
      <c r="G30" s="9"/>
      <c r="H30" s="9"/>
      <c r="I30" s="12"/>
    </row>
    <row r="31" spans="1:19" ht="12.75">
      <c r="A31" s="3" t="s">
        <v>11</v>
      </c>
      <c r="F31">
        <v>64</v>
      </c>
      <c r="G31" s="9">
        <v>57</v>
      </c>
      <c r="H31" s="9">
        <v>73</v>
      </c>
      <c r="I31" s="12">
        <v>70</v>
      </c>
      <c r="J31" s="9">
        <v>78</v>
      </c>
      <c r="K31" s="9">
        <v>73</v>
      </c>
      <c r="L31" s="9">
        <v>65</v>
      </c>
      <c r="M31" s="9">
        <v>84</v>
      </c>
      <c r="N31" s="9">
        <v>93</v>
      </c>
      <c r="O31" s="9">
        <v>77</v>
      </c>
      <c r="P31" s="9">
        <v>74</v>
      </c>
      <c r="Q31" s="9">
        <v>74</v>
      </c>
      <c r="R31" s="9">
        <v>83</v>
      </c>
      <c r="S31" s="9">
        <v>78</v>
      </c>
    </row>
    <row r="32" spans="7:9" ht="12.75">
      <c r="G32" s="9"/>
      <c r="H32" s="9"/>
      <c r="I32" s="12"/>
    </row>
    <row r="33" spans="1:19" ht="12.75">
      <c r="A33" s="3" t="s">
        <v>28</v>
      </c>
      <c r="F33">
        <v>113</v>
      </c>
      <c r="G33" s="9">
        <v>118</v>
      </c>
      <c r="H33" s="9">
        <v>115</v>
      </c>
      <c r="I33" s="12">
        <v>105</v>
      </c>
      <c r="J33" s="9">
        <v>139</v>
      </c>
      <c r="K33" s="9">
        <v>183</v>
      </c>
      <c r="L33" s="9">
        <v>156</v>
      </c>
      <c r="M33" s="9">
        <v>114</v>
      </c>
      <c r="N33" s="9">
        <v>132</v>
      </c>
      <c r="O33" s="9">
        <v>139</v>
      </c>
      <c r="P33" s="9">
        <v>105</v>
      </c>
      <c r="Q33" s="9">
        <v>129</v>
      </c>
      <c r="R33" s="9">
        <v>123</v>
      </c>
      <c r="S33" s="9">
        <v>154</v>
      </c>
    </row>
    <row r="34" spans="7:9" ht="12.75">
      <c r="G34" s="9"/>
      <c r="H34" s="9"/>
      <c r="I34" s="12"/>
    </row>
    <row r="35" spans="1:19" ht="12.75">
      <c r="A35" t="s">
        <v>2</v>
      </c>
      <c r="F35" s="12">
        <v>1049.504</v>
      </c>
      <c r="G35" s="12">
        <v>876.725</v>
      </c>
      <c r="H35" s="12">
        <v>982.876</v>
      </c>
      <c r="I35" s="12">
        <v>767.134</v>
      </c>
      <c r="J35" s="12">
        <v>987.836</v>
      </c>
      <c r="K35" s="12">
        <v>1176.741</v>
      </c>
      <c r="L35" s="13">
        <v>916.927</v>
      </c>
      <c r="M35" s="12">
        <v>926.665</v>
      </c>
      <c r="N35" s="12">
        <v>933.943</v>
      </c>
      <c r="O35" s="12">
        <v>941.714</v>
      </c>
      <c r="P35" s="12">
        <v>915.637</v>
      </c>
      <c r="Q35" s="12">
        <v>877.514</v>
      </c>
      <c r="R35" s="12">
        <v>950.202</v>
      </c>
      <c r="S35" s="9" t="s">
        <v>33</v>
      </c>
    </row>
    <row r="36" spans="7:17" ht="12.75">
      <c r="G36" s="9"/>
      <c r="H36" s="9"/>
      <c r="I36" s="12"/>
      <c r="L36" s="27"/>
      <c r="Q36" s="1"/>
    </row>
    <row r="37" spans="1:19" ht="12.75">
      <c r="A37" t="s">
        <v>3</v>
      </c>
      <c r="F37" s="12">
        <v>2429</v>
      </c>
      <c r="G37" s="13">
        <v>2488</v>
      </c>
      <c r="H37" s="12">
        <v>2500</v>
      </c>
      <c r="I37" s="12">
        <v>2275.29</v>
      </c>
      <c r="J37" s="12">
        <v>2411</v>
      </c>
      <c r="K37" s="12">
        <v>2592.95</v>
      </c>
      <c r="L37" s="13">
        <v>2504</v>
      </c>
      <c r="M37" s="12">
        <v>2749.84</v>
      </c>
      <c r="N37" s="12">
        <v>2698</v>
      </c>
      <c r="O37" s="12">
        <v>2880.999</v>
      </c>
      <c r="P37" s="12">
        <v>2489.151</v>
      </c>
      <c r="Q37" s="12">
        <v>2458.489</v>
      </c>
      <c r="R37" s="12">
        <v>2374.247</v>
      </c>
      <c r="S37" s="9" t="s">
        <v>33</v>
      </c>
    </row>
    <row r="38" spans="6:17" ht="12.75">
      <c r="F38" s="9"/>
      <c r="G38" s="9"/>
      <c r="H38" s="9"/>
      <c r="I38" s="12"/>
      <c r="L38" s="27"/>
      <c r="Q38" s="1"/>
    </row>
    <row r="39" spans="1:19" ht="12.75">
      <c r="A39" t="s">
        <v>4</v>
      </c>
      <c r="F39" s="12">
        <f>2406.699+3744.547+1914.494+2417.466</f>
        <v>10483.206</v>
      </c>
      <c r="G39" s="12">
        <f>2375.117+3687.21+1885.274+2548.106</f>
        <v>10495.707</v>
      </c>
      <c r="H39" s="12">
        <f>2263.596+2867.585+1547.892+2305.422</f>
        <v>8984.495</v>
      </c>
      <c r="I39" s="12">
        <f>2214.824+3261.863+1685.816+2028.314</f>
        <v>9190.817</v>
      </c>
      <c r="J39" s="12">
        <f>2375.692+3462.877+1789.907+2433.947</f>
        <v>10062.422999999999</v>
      </c>
      <c r="K39" s="12">
        <f>2488.043+2878.618+1395.17+2335.575</f>
        <v>9097.405999999999</v>
      </c>
      <c r="L39" s="13">
        <f>2348.15+3332.111+1625.202+2140.018</f>
        <v>9445.481</v>
      </c>
      <c r="M39" s="12">
        <f>2290.639+2773.871+1271.057+2492.612</f>
        <v>8828.179</v>
      </c>
      <c r="N39" s="12">
        <f>2389.029+3133.478+1501.768+2319.148</f>
        <v>9343.422999999999</v>
      </c>
      <c r="O39" s="1">
        <f>2355.474+3098.648+1355.23+2543.246</f>
        <v>9352.598000000002</v>
      </c>
      <c r="P39" s="1">
        <f>2052.198+2264.865+1141.461+2435.866</f>
        <v>7894.39</v>
      </c>
      <c r="Q39" s="12">
        <f>1932.947+3270.673+1330.941+2586.021</f>
        <v>9120.582</v>
      </c>
      <c r="R39" s="1">
        <f>2067.741+2327.04+1330.491+2215.112</f>
        <v>7940.384</v>
      </c>
      <c r="S39" s="9" t="s">
        <v>33</v>
      </c>
    </row>
    <row r="40" ht="12.75"/>
    <row r="41" ht="12.75">
      <c r="A41" s="3" t="s">
        <v>27</v>
      </c>
    </row>
    <row r="42" ht="12.75">
      <c r="A42" s="3"/>
    </row>
    <row r="43" spans="1:19" ht="12.75">
      <c r="A43" t="s">
        <v>5</v>
      </c>
      <c r="F43">
        <v>278</v>
      </c>
      <c r="G43">
        <v>221</v>
      </c>
      <c r="H43">
        <v>192</v>
      </c>
      <c r="I43" s="9">
        <v>182</v>
      </c>
      <c r="J43">
        <v>186</v>
      </c>
      <c r="K43">
        <v>195</v>
      </c>
      <c r="L43">
        <v>200</v>
      </c>
      <c r="M43">
        <v>219</v>
      </c>
      <c r="N43">
        <v>246</v>
      </c>
      <c r="O43">
        <v>267</v>
      </c>
      <c r="P43">
        <v>247</v>
      </c>
      <c r="Q43">
        <v>280</v>
      </c>
      <c r="R43">
        <v>312</v>
      </c>
      <c r="S43">
        <v>344</v>
      </c>
    </row>
    <row r="44" ht="12.75"/>
    <row r="45" spans="1:19" ht="12.75">
      <c r="A45" t="s">
        <v>6</v>
      </c>
      <c r="F45" s="1">
        <v>1004</v>
      </c>
      <c r="G45" s="1">
        <v>1077</v>
      </c>
      <c r="H45" s="1">
        <v>1153</v>
      </c>
      <c r="I45" s="12">
        <v>1149</v>
      </c>
      <c r="J45" s="1">
        <v>1100</v>
      </c>
      <c r="K45" s="1">
        <v>1036</v>
      </c>
      <c r="L45" s="1">
        <v>1000</v>
      </c>
      <c r="M45" s="1">
        <v>1043</v>
      </c>
      <c r="N45" s="1">
        <v>1056</v>
      </c>
      <c r="O45" s="1">
        <v>1062</v>
      </c>
      <c r="P45" s="1">
        <v>1110</v>
      </c>
      <c r="Q45" s="1">
        <v>837</v>
      </c>
      <c r="R45" s="1">
        <v>1086</v>
      </c>
      <c r="S45" s="1">
        <v>1252</v>
      </c>
    </row>
    <row r="46" ht="12.75"/>
    <row r="47" spans="1:19" ht="12.75">
      <c r="A47" s="3" t="s">
        <v>32</v>
      </c>
      <c r="F47" s="38">
        <v>394</v>
      </c>
      <c r="G47" s="38">
        <v>413</v>
      </c>
      <c r="H47" s="38">
        <v>437</v>
      </c>
      <c r="I47" s="38">
        <v>429</v>
      </c>
      <c r="J47" s="38">
        <v>432</v>
      </c>
      <c r="K47" s="38">
        <v>451</v>
      </c>
      <c r="L47" s="38">
        <v>523</v>
      </c>
      <c r="M47" s="38">
        <v>570</v>
      </c>
      <c r="N47" s="38">
        <v>565</v>
      </c>
      <c r="O47" s="47">
        <v>613</v>
      </c>
      <c r="P47" s="47">
        <v>653</v>
      </c>
      <c r="Q47" s="47">
        <v>685</v>
      </c>
      <c r="R47" s="47">
        <v>696</v>
      </c>
      <c r="S47" s="47">
        <v>690</v>
      </c>
    </row>
    <row r="48" ht="12.75"/>
    <row r="49" spans="1:19" ht="12.75">
      <c r="A49" t="s">
        <v>7</v>
      </c>
      <c r="F49" s="12">
        <v>2253</v>
      </c>
      <c r="G49" s="1">
        <v>2340</v>
      </c>
      <c r="H49" s="1">
        <v>2537</v>
      </c>
      <c r="I49" s="12">
        <v>2367</v>
      </c>
      <c r="J49" s="1">
        <v>2255</v>
      </c>
      <c r="K49" s="1">
        <v>2229</v>
      </c>
      <c r="L49" s="1">
        <v>2176</v>
      </c>
      <c r="M49" s="1">
        <v>2188</v>
      </c>
      <c r="N49" s="1">
        <v>2139</v>
      </c>
      <c r="O49" s="1">
        <v>2110</v>
      </c>
      <c r="P49" s="1">
        <v>2073</v>
      </c>
      <c r="Q49" s="1">
        <v>1888</v>
      </c>
      <c r="R49" s="1">
        <v>2111</v>
      </c>
      <c r="S49" s="1">
        <v>2196</v>
      </c>
    </row>
    <row r="50" ht="12.75"/>
    <row r="51" spans="1:19" ht="12.75">
      <c r="A51" t="s">
        <v>8</v>
      </c>
      <c r="F51" s="5">
        <f>(461.7/8562)*8885</f>
        <v>479.11755430974074</v>
      </c>
      <c r="G51" s="5">
        <v>490</v>
      </c>
      <c r="H51" s="9">
        <v>537</v>
      </c>
      <c r="I51" s="9">
        <v>503</v>
      </c>
      <c r="J51" s="9">
        <v>508</v>
      </c>
      <c r="K51" s="8">
        <v>514.862</v>
      </c>
      <c r="L51" s="29">
        <v>537.399</v>
      </c>
      <c r="M51" s="8">
        <v>543.785</v>
      </c>
      <c r="N51" s="5">
        <v>541.888</v>
      </c>
      <c r="O51" s="5">
        <v>579.276</v>
      </c>
      <c r="P51" s="8">
        <v>577.521</v>
      </c>
      <c r="Q51" s="12">
        <v>573.079</v>
      </c>
      <c r="R51" s="5">
        <v>604.525</v>
      </c>
      <c r="S51" s="9" t="s">
        <v>33</v>
      </c>
    </row>
    <row r="52" ht="12.75"/>
    <row r="53" spans="1:19" ht="12.75">
      <c r="A53" s="3" t="s">
        <v>24</v>
      </c>
      <c r="B53" s="2"/>
      <c r="C53" s="2"/>
      <c r="D53" s="2"/>
      <c r="E53" s="2"/>
      <c r="F53" s="1">
        <v>1305.69</v>
      </c>
      <c r="G53" s="1">
        <v>1324.92</v>
      </c>
      <c r="H53" s="1">
        <v>1326.36</v>
      </c>
      <c r="I53" s="12">
        <v>1447.56</v>
      </c>
      <c r="J53" s="1">
        <v>1641.82</v>
      </c>
      <c r="K53" s="1">
        <v>1779.13</v>
      </c>
      <c r="L53" s="1">
        <v>1787.02</v>
      </c>
      <c r="M53" s="1">
        <v>1971.84</v>
      </c>
      <c r="N53" s="1">
        <v>2268.36</v>
      </c>
      <c r="O53" s="1">
        <v>2429.89</v>
      </c>
      <c r="P53" s="1">
        <v>3074.95</v>
      </c>
      <c r="Q53" s="1">
        <v>3901.55</v>
      </c>
      <c r="R53" s="1">
        <v>4025.57</v>
      </c>
      <c r="S53" s="1">
        <v>4236.37</v>
      </c>
    </row>
    <row r="54" ht="12.75"/>
    <row r="55" spans="1:19" ht="12.75">
      <c r="A55" t="s">
        <v>10</v>
      </c>
      <c r="F55">
        <v>166</v>
      </c>
      <c r="G55" s="5">
        <v>170.491</v>
      </c>
      <c r="H55">
        <v>159</v>
      </c>
      <c r="I55" s="9">
        <v>158</v>
      </c>
      <c r="J55">
        <v>175</v>
      </c>
      <c r="K55">
        <v>200</v>
      </c>
      <c r="L55" s="1">
        <v>234.823</v>
      </c>
      <c r="M55" s="5">
        <v>238.635</v>
      </c>
      <c r="N55" s="5">
        <v>252.173</v>
      </c>
      <c r="O55" s="5">
        <v>257.132</v>
      </c>
      <c r="P55" s="5">
        <v>389.916</v>
      </c>
      <c r="Q55" s="5">
        <v>473.393</v>
      </c>
      <c r="R55" s="5">
        <v>452.905</v>
      </c>
      <c r="S55" s="5">
        <v>423.182</v>
      </c>
    </row>
    <row r="56" ht="12.75"/>
    <row r="57" spans="3:19" ht="12.75">
      <c r="C57" s="35" t="s">
        <v>38</v>
      </c>
      <c r="F57">
        <v>91</v>
      </c>
      <c r="G57">
        <v>109</v>
      </c>
      <c r="H57">
        <v>131</v>
      </c>
      <c r="I57" s="9">
        <v>149</v>
      </c>
      <c r="J57">
        <v>157</v>
      </c>
      <c r="K57">
        <v>136</v>
      </c>
      <c r="L57">
        <v>103</v>
      </c>
      <c r="M57">
        <v>116</v>
      </c>
      <c r="N57">
        <v>130</v>
      </c>
      <c r="O57">
        <v>142</v>
      </c>
      <c r="P57">
        <v>157</v>
      </c>
      <c r="Q57" s="5">
        <v>186.878</v>
      </c>
      <c r="R57" s="1">
        <v>206.229</v>
      </c>
      <c r="S57">
        <v>212.529</v>
      </c>
    </row>
    <row r="58" spans="12:13" ht="12.75">
      <c r="L58" s="1"/>
      <c r="M58" s="5"/>
    </row>
    <row r="59" spans="3:19" ht="12.75">
      <c r="C59" s="35" t="s">
        <v>43</v>
      </c>
      <c r="F59" s="5">
        <v>20.968</v>
      </c>
      <c r="G59" s="5">
        <v>24.127</v>
      </c>
      <c r="H59" s="5">
        <v>34.747</v>
      </c>
      <c r="I59" s="8">
        <v>32.45</v>
      </c>
      <c r="J59" s="5">
        <v>37.24</v>
      </c>
      <c r="K59" s="5">
        <v>57.516</v>
      </c>
      <c r="L59" s="5">
        <v>68.241</v>
      </c>
      <c r="M59" s="5">
        <v>92.018</v>
      </c>
      <c r="N59" s="5">
        <v>114.911</v>
      </c>
      <c r="O59" s="5">
        <v>132.859</v>
      </c>
      <c r="P59" s="5">
        <v>145.572</v>
      </c>
      <c r="Q59" s="5">
        <v>226.065</v>
      </c>
      <c r="R59" s="5">
        <v>205.183</v>
      </c>
      <c r="S59" s="5">
        <v>221.18</v>
      </c>
    </row>
    <row r="60" ht="12.75"/>
    <row r="61" spans="1:19" ht="12.75">
      <c r="A61" s="3" t="s">
        <v>36</v>
      </c>
      <c r="F61" s="5">
        <v>76</v>
      </c>
      <c r="G61" s="5">
        <v>46</v>
      </c>
      <c r="H61">
        <v>22</v>
      </c>
      <c r="I61" s="9">
        <v>31</v>
      </c>
      <c r="J61">
        <v>27</v>
      </c>
      <c r="K61">
        <v>34</v>
      </c>
      <c r="L61" s="1">
        <v>23.8633</v>
      </c>
      <c r="M61" s="5">
        <v>25.62</v>
      </c>
      <c r="N61">
        <v>18</v>
      </c>
      <c r="O61" s="5">
        <v>11.6246</v>
      </c>
      <c r="P61">
        <v>1</v>
      </c>
      <c r="Q61" s="5">
        <v>1.6</v>
      </c>
      <c r="R61" s="5">
        <f>0.816+1.67+0.285</f>
        <v>2.771</v>
      </c>
      <c r="S61" s="5">
        <f>1.172+0.061+0.03+2.829+0.659</f>
        <v>4.751</v>
      </c>
    </row>
    <row r="62" ht="12.75">
      <c r="L62" s="1"/>
    </row>
    <row r="63" spans="1:19" ht="12.75">
      <c r="A63" s="3" t="s">
        <v>25</v>
      </c>
      <c r="F63" s="1">
        <v>8058.8</v>
      </c>
      <c r="G63" s="1">
        <v>8042.69</v>
      </c>
      <c r="H63" s="1">
        <v>8634.6</v>
      </c>
      <c r="I63" s="12">
        <v>9469.22</v>
      </c>
      <c r="J63" s="1">
        <v>10524.5</v>
      </c>
      <c r="K63" s="1">
        <v>11079.16</v>
      </c>
      <c r="L63" s="1">
        <v>12341.54</v>
      </c>
      <c r="M63" s="1">
        <v>14822.13</v>
      </c>
      <c r="N63" s="1">
        <v>18903.08</v>
      </c>
      <c r="O63" s="1">
        <v>15013.24</v>
      </c>
      <c r="P63" s="1">
        <v>18678.14</v>
      </c>
      <c r="Q63" s="1">
        <v>25573.26</v>
      </c>
      <c r="R63" s="1">
        <v>24760.35</v>
      </c>
      <c r="S63" s="1">
        <v>24992.46</v>
      </c>
    </row>
    <row r="64" spans="1:12" ht="12.75">
      <c r="A64" s="1"/>
      <c r="L64" s="1"/>
    </row>
    <row r="65" spans="1:19" ht="12.75">
      <c r="A65" t="s">
        <v>11</v>
      </c>
      <c r="F65">
        <v>933</v>
      </c>
      <c r="G65" s="5">
        <v>925.474</v>
      </c>
      <c r="H65">
        <v>983</v>
      </c>
      <c r="I65" s="12">
        <v>1048</v>
      </c>
      <c r="J65" s="1">
        <v>1432</v>
      </c>
      <c r="K65">
        <v>1213</v>
      </c>
      <c r="L65" s="1">
        <v>1264.627</v>
      </c>
      <c r="M65" s="1">
        <v>1826</v>
      </c>
      <c r="N65" s="1">
        <v>2820</v>
      </c>
      <c r="O65" s="1">
        <v>1638</v>
      </c>
      <c r="P65" s="1">
        <v>1990.142</v>
      </c>
      <c r="Q65" s="1">
        <v>2498</v>
      </c>
      <c r="R65" s="1">
        <v>2603.024</v>
      </c>
      <c r="S65" s="1">
        <v>2676.603</v>
      </c>
    </row>
    <row r="66" spans="7:13" ht="12.75">
      <c r="G66" s="5"/>
      <c r="J66" s="1"/>
      <c r="L66" s="1"/>
      <c r="M66" s="1"/>
    </row>
    <row r="67" spans="1:19" ht="12.75">
      <c r="A67" t="s">
        <v>15</v>
      </c>
      <c r="F67" s="5">
        <f>699.65+23.315</f>
        <v>722.965</v>
      </c>
      <c r="G67" s="5">
        <f>462.858+24.435</f>
        <v>487.293</v>
      </c>
      <c r="H67" s="5">
        <f>786.391+61.726</f>
        <v>848.117</v>
      </c>
      <c r="I67" s="12">
        <f>951.359+119.969</f>
        <v>1071.328</v>
      </c>
      <c r="J67" s="1">
        <f>466.178+78.092</f>
        <v>544.27</v>
      </c>
      <c r="K67">
        <v>670</v>
      </c>
      <c r="L67" s="1">
        <f>593.669+198.802</f>
        <v>792.471</v>
      </c>
      <c r="M67" s="1">
        <f>690.979+248.421</f>
        <v>939.4000000000001</v>
      </c>
      <c r="N67" s="5">
        <f>726.5574+233.4355</f>
        <v>959.9929</v>
      </c>
      <c r="O67" s="5">
        <f>615.042+182.064</f>
        <v>797.106</v>
      </c>
      <c r="P67" s="1">
        <f>808.7+271.703</f>
        <v>1080.403</v>
      </c>
      <c r="Q67" s="1">
        <f>1160.037+361.964</f>
        <v>1522.001</v>
      </c>
      <c r="R67" s="1">
        <f>943.477+316.629</f>
        <v>1260.106</v>
      </c>
      <c r="S67" s="1">
        <f>1065.976+329.708</f>
        <v>1395.6840000000002</v>
      </c>
    </row>
    <row r="68" spans="7:13" ht="12.75">
      <c r="G68" s="5"/>
      <c r="J68" s="1"/>
      <c r="L68" s="1"/>
      <c r="M68" s="1"/>
    </row>
    <row r="69" spans="1:19" ht="12.75">
      <c r="A69" t="s">
        <v>14</v>
      </c>
      <c r="F69">
        <v>595</v>
      </c>
      <c r="G69" s="5">
        <v>617.864</v>
      </c>
      <c r="H69">
        <v>513</v>
      </c>
      <c r="I69" s="9">
        <v>471</v>
      </c>
      <c r="J69" s="1">
        <v>421.305</v>
      </c>
      <c r="K69">
        <v>408</v>
      </c>
      <c r="L69" s="1">
        <v>363.759</v>
      </c>
      <c r="M69" s="1">
        <v>380.571</v>
      </c>
      <c r="N69" s="1">
        <v>368.821</v>
      </c>
      <c r="O69" s="1">
        <v>268</v>
      </c>
      <c r="P69" s="1">
        <v>386.151</v>
      </c>
      <c r="Q69" s="1">
        <v>446.355</v>
      </c>
      <c r="R69" s="1">
        <v>458.288</v>
      </c>
      <c r="S69" s="1">
        <v>448.566</v>
      </c>
    </row>
    <row r="70" spans="7:13" ht="12.75">
      <c r="G70" s="5"/>
      <c r="J70" s="1"/>
      <c r="L70" s="1"/>
      <c r="M70" s="1"/>
    </row>
    <row r="71" spans="1:19" ht="12.75">
      <c r="A71" t="s">
        <v>12</v>
      </c>
      <c r="F71">
        <v>470</v>
      </c>
      <c r="G71" s="5">
        <v>529.731</v>
      </c>
      <c r="H71">
        <v>543</v>
      </c>
      <c r="I71" s="9">
        <v>610</v>
      </c>
      <c r="J71" s="1">
        <v>660</v>
      </c>
      <c r="K71">
        <v>666</v>
      </c>
      <c r="L71" s="1">
        <v>656.06</v>
      </c>
      <c r="M71" s="1">
        <v>828.237</v>
      </c>
      <c r="N71" s="1">
        <v>1274.364</v>
      </c>
      <c r="O71" s="1">
        <v>949</v>
      </c>
      <c r="P71" s="1">
        <v>1067.055</v>
      </c>
      <c r="Q71" s="1">
        <v>1647.062</v>
      </c>
      <c r="R71" s="1">
        <v>1773.167</v>
      </c>
      <c r="S71" s="1">
        <v>1615.625</v>
      </c>
    </row>
    <row r="72" spans="10:13" ht="12.75">
      <c r="J72" s="1"/>
      <c r="L72" s="1"/>
      <c r="M72" s="1"/>
    </row>
    <row r="73" spans="1:19" ht="12.75">
      <c r="A73" t="s">
        <v>13</v>
      </c>
      <c r="F73">
        <v>404</v>
      </c>
      <c r="G73" s="5">
        <v>447.778</v>
      </c>
      <c r="H73">
        <v>371</v>
      </c>
      <c r="I73" s="9">
        <v>396</v>
      </c>
      <c r="J73" s="1">
        <v>429.538</v>
      </c>
      <c r="K73">
        <v>355</v>
      </c>
      <c r="L73" s="1">
        <v>298.694</v>
      </c>
      <c r="M73" s="1">
        <v>305.403</v>
      </c>
      <c r="N73" s="1">
        <v>341.675</v>
      </c>
      <c r="O73" s="1">
        <v>292</v>
      </c>
      <c r="P73" s="1">
        <v>405.825</v>
      </c>
      <c r="Q73" s="1">
        <v>854.767</v>
      </c>
      <c r="R73" s="1">
        <v>687.501</v>
      </c>
      <c r="S73" s="1">
        <v>609.314</v>
      </c>
    </row>
    <row r="74" spans="6:13" ht="12.75">
      <c r="F74" s="5"/>
      <c r="G74" s="5"/>
      <c r="J74" s="1"/>
      <c r="L74" s="1"/>
      <c r="M74" s="1"/>
    </row>
    <row r="75" spans="1:19" ht="12.75">
      <c r="A75" t="s">
        <v>16</v>
      </c>
      <c r="F75" s="5">
        <v>328.237</v>
      </c>
      <c r="G75" s="5">
        <v>289.401</v>
      </c>
      <c r="H75">
        <v>317</v>
      </c>
      <c r="I75" s="9">
        <v>399</v>
      </c>
      <c r="J75" s="1">
        <v>480.3</v>
      </c>
      <c r="K75">
        <v>391</v>
      </c>
      <c r="L75" s="1">
        <v>321.381</v>
      </c>
      <c r="M75" s="1">
        <v>414.664</v>
      </c>
      <c r="N75" s="1">
        <v>791.869</v>
      </c>
      <c r="O75" s="1">
        <v>592</v>
      </c>
      <c r="P75" s="1">
        <v>573.87</v>
      </c>
      <c r="Q75" s="1">
        <v>676.295</v>
      </c>
      <c r="R75" s="1">
        <v>731.627</v>
      </c>
      <c r="S75" s="1">
        <v>738.154</v>
      </c>
    </row>
    <row r="76" spans="6:13" ht="12.75">
      <c r="F76" s="5"/>
      <c r="G76" s="5"/>
      <c r="J76" s="1"/>
      <c r="L76" s="1"/>
      <c r="M76" s="1"/>
    </row>
    <row r="77" spans="1:19" ht="12.75">
      <c r="A77" t="s">
        <v>9</v>
      </c>
      <c r="F77" s="5">
        <v>250.423</v>
      </c>
      <c r="G77" s="5">
        <v>171.611</v>
      </c>
      <c r="H77">
        <v>206</v>
      </c>
      <c r="I77" s="9">
        <v>184</v>
      </c>
      <c r="J77" s="1">
        <v>333.611</v>
      </c>
      <c r="K77">
        <v>591</v>
      </c>
      <c r="L77" s="1">
        <v>741.358</v>
      </c>
      <c r="M77" s="1">
        <f>862.851</f>
        <v>862.851</v>
      </c>
      <c r="N77" s="1">
        <v>823.467</v>
      </c>
      <c r="O77" s="1">
        <v>672</v>
      </c>
      <c r="P77" s="1">
        <v>664.314</v>
      </c>
      <c r="Q77" s="1">
        <v>1438.401</v>
      </c>
      <c r="R77" s="1">
        <v>1130.506</v>
      </c>
      <c r="S77" s="1">
        <v>822.113</v>
      </c>
    </row>
    <row r="78" ht="12.75">
      <c r="M78" s="1"/>
    </row>
    <row r="79" spans="3:19" ht="12.75">
      <c r="C79" s="35" t="s">
        <v>37</v>
      </c>
      <c r="F79" s="1">
        <v>240.279313</v>
      </c>
      <c r="G79" s="1">
        <v>206.2398</v>
      </c>
      <c r="H79" s="1">
        <v>233.97563</v>
      </c>
      <c r="I79" s="1">
        <v>338.738784</v>
      </c>
      <c r="J79" s="1">
        <v>455.631536</v>
      </c>
      <c r="K79" s="1">
        <v>509.072347</v>
      </c>
      <c r="L79" s="1">
        <v>733.596465</v>
      </c>
      <c r="M79" s="1">
        <v>789.148378</v>
      </c>
      <c r="N79" s="1">
        <v>1003.034438</v>
      </c>
      <c r="O79" s="1">
        <v>600.378138</v>
      </c>
      <c r="P79" s="1">
        <v>1195.001483</v>
      </c>
      <c r="Q79" s="1">
        <v>1928.652812</v>
      </c>
      <c r="R79" s="1">
        <v>1372.738</v>
      </c>
      <c r="S79" s="1">
        <v>1108.783</v>
      </c>
    </row>
    <row r="81" ht="12.75"/>
  </sheetData>
  <sheetProtection/>
  <mergeCells count="2">
    <mergeCell ref="B23:D23"/>
    <mergeCell ref="B21:D21"/>
  </mergeCells>
  <printOptions/>
  <pageMargins left="0.75" right="0.75" top="1" bottom="1" header="0.5" footer="0.5"/>
  <pageSetup fitToHeight="1" fitToWidth="1" horizontalDpi="600" verticalDpi="600" orientation="portrait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P9" sqref="P9"/>
    </sheetView>
  </sheetViews>
  <sheetFormatPr defaultColWidth="9.140625" defaultRowHeight="12.75"/>
  <cols>
    <col min="1" max="1" width="4.28125" style="0" customWidth="1"/>
    <col min="3" max="3" width="30.7109375" style="0" customWidth="1"/>
    <col min="4" max="4" width="16.00390625" style="0" customWidth="1"/>
    <col min="5" max="5" width="9.421875" style="0" customWidth="1"/>
  </cols>
  <sheetData>
    <row r="1" spans="1:6" ht="12.75">
      <c r="A1" t="s">
        <v>0</v>
      </c>
      <c r="E1" s="21"/>
      <c r="F1" s="21"/>
    </row>
    <row r="2" spans="5:12" ht="12.75">
      <c r="E2" s="62" t="s">
        <v>30</v>
      </c>
      <c r="F2" s="63"/>
      <c r="G2" s="63"/>
      <c r="H2" s="63"/>
      <c r="I2" s="63"/>
      <c r="J2" s="63"/>
      <c r="K2" s="63"/>
      <c r="L2" s="63"/>
    </row>
    <row r="3" spans="5:12" ht="12.75">
      <c r="E3" s="19">
        <v>2006</v>
      </c>
      <c r="F3" s="28">
        <v>2007</v>
      </c>
      <c r="G3" s="28">
        <v>2008</v>
      </c>
      <c r="H3" s="28">
        <v>2009</v>
      </c>
      <c r="I3" s="28">
        <v>2010</v>
      </c>
      <c r="J3" s="28">
        <v>2011</v>
      </c>
      <c r="K3" s="28">
        <v>2012</v>
      </c>
      <c r="L3" s="28">
        <v>2013</v>
      </c>
    </row>
    <row r="4" spans="1:12" ht="12.75">
      <c r="A4" s="3" t="s">
        <v>17</v>
      </c>
      <c r="E4" s="23">
        <v>48.371946</v>
      </c>
      <c r="F4" s="7">
        <v>48.597652</v>
      </c>
      <c r="G4" s="7">
        <v>48.948698</v>
      </c>
      <c r="H4" s="7">
        <v>49.182038</v>
      </c>
      <c r="I4" s="7">
        <v>49.410366</v>
      </c>
      <c r="J4" s="7">
        <v>49.77944</v>
      </c>
      <c r="K4" s="7">
        <v>50.004</v>
      </c>
      <c r="L4" s="7">
        <v>50.219669</v>
      </c>
    </row>
    <row r="5" ht="12.75">
      <c r="A5" s="3"/>
    </row>
    <row r="6" spans="2:12" ht="12.75">
      <c r="B6" s="3" t="s">
        <v>21</v>
      </c>
      <c r="E6" s="27">
        <v>6.8</v>
      </c>
      <c r="F6" s="9">
        <v>6.8</v>
      </c>
      <c r="G6">
        <v>6.6</v>
      </c>
      <c r="H6" s="34">
        <v>6.4</v>
      </c>
      <c r="I6" s="36">
        <f>3.062956/I4*100</f>
        <v>6.199015000212707</v>
      </c>
      <c r="J6" s="36">
        <f>2.962113/J4*100</f>
        <v>5.95047473414727</v>
      </c>
      <c r="K6" s="36">
        <f>2.91154/K4*100</f>
        <v>5.822614190864731</v>
      </c>
      <c r="L6" s="7">
        <f>2.847435/L4*100</f>
        <v>5.66995971239874</v>
      </c>
    </row>
    <row r="8" spans="1:12" ht="12.75">
      <c r="A8" s="3" t="s">
        <v>18</v>
      </c>
      <c r="E8" s="5">
        <f aca="true" t="shared" si="0" ref="E8:L8">E12/E16*1000</f>
        <v>1011.046153846154</v>
      </c>
      <c r="F8" s="1">
        <f t="shared" si="0"/>
        <v>1122.6758926457612</v>
      </c>
      <c r="G8" s="5">
        <f t="shared" si="0"/>
        <v>1002.2615245009074</v>
      </c>
      <c r="H8" s="5">
        <f t="shared" si="0"/>
        <v>902.1681027729908</v>
      </c>
      <c r="I8" s="1">
        <f t="shared" si="0"/>
        <v>1094.588340324594</v>
      </c>
      <c r="J8" s="1">
        <f t="shared" si="0"/>
        <v>1202.6992757710443</v>
      </c>
      <c r="K8" s="1">
        <f t="shared" si="0"/>
        <v>1222.9568875279335</v>
      </c>
      <c r="L8" s="1">
        <f t="shared" si="0"/>
        <v>1304.765889419234</v>
      </c>
    </row>
    <row r="9" ht="12.75">
      <c r="A9" s="3"/>
    </row>
    <row r="10" spans="1:12" ht="12.75">
      <c r="A10" s="3"/>
      <c r="B10" s="3" t="s">
        <v>35</v>
      </c>
      <c r="E10" s="44">
        <v>20823.2</v>
      </c>
      <c r="F10" s="44">
        <v>23032.8</v>
      </c>
      <c r="G10" s="44">
        <v>20463.4</v>
      </c>
      <c r="H10" s="44">
        <v>18302.9</v>
      </c>
      <c r="I10" s="44">
        <v>22169.7</v>
      </c>
      <c r="J10" s="54">
        <v>24302.1</v>
      </c>
      <c r="K10" s="54">
        <v>24696</v>
      </c>
      <c r="L10" s="1">
        <v>26204.7</v>
      </c>
    </row>
    <row r="11" ht="12.75">
      <c r="A11" s="3"/>
    </row>
    <row r="12" spans="1:12" ht="12.75">
      <c r="A12" s="3" t="s">
        <v>44</v>
      </c>
      <c r="B12" s="56"/>
      <c r="E12" s="24">
        <v>966.0546</v>
      </c>
      <c r="F12" s="5">
        <v>1043.2578</v>
      </c>
      <c r="G12" s="1">
        <v>1104.4922</v>
      </c>
      <c r="H12" s="1">
        <v>1151.7078</v>
      </c>
      <c r="I12" s="1">
        <v>1265.308</v>
      </c>
      <c r="J12" s="52">
        <v>1332.681</v>
      </c>
      <c r="K12" s="52">
        <v>1377.4567</v>
      </c>
      <c r="L12" s="1">
        <v>1428.2946</v>
      </c>
    </row>
    <row r="13" spans="1:3" ht="12.75">
      <c r="A13" s="3"/>
      <c r="C13" s="57"/>
    </row>
    <row r="14" spans="1:12" ht="12.75">
      <c r="A14" s="3"/>
      <c r="B14" s="3" t="s">
        <v>34</v>
      </c>
      <c r="E14" s="46">
        <v>5.2</v>
      </c>
      <c r="F14" s="46">
        <v>5.1</v>
      </c>
      <c r="G14" s="46">
        <v>2.3</v>
      </c>
      <c r="H14" s="45">
        <v>0.3</v>
      </c>
      <c r="I14" s="36">
        <v>6.3</v>
      </c>
      <c r="J14" s="42">
        <v>3.6</v>
      </c>
      <c r="K14" s="53">
        <v>2.022</v>
      </c>
      <c r="L14" s="53">
        <v>2.8</v>
      </c>
    </row>
    <row r="15" spans="1:10" ht="12.75">
      <c r="A15" s="3"/>
      <c r="E15" s="35"/>
      <c r="F15" s="35"/>
      <c r="G15" s="35"/>
      <c r="H15" s="35"/>
      <c r="I15" s="35"/>
      <c r="J15" s="35"/>
    </row>
    <row r="16" spans="1:12" ht="12.75">
      <c r="A16" s="2" t="s">
        <v>22</v>
      </c>
      <c r="B16" s="3"/>
      <c r="E16" s="1">
        <v>955.5</v>
      </c>
      <c r="F16" s="1">
        <v>929.26</v>
      </c>
      <c r="G16" s="1">
        <v>1102</v>
      </c>
      <c r="H16" s="1">
        <v>1276.6</v>
      </c>
      <c r="I16" s="1">
        <v>1155.967</v>
      </c>
      <c r="J16" s="1">
        <v>1108.075</v>
      </c>
      <c r="K16" s="1">
        <v>1126.333</v>
      </c>
      <c r="L16" s="1">
        <v>1094.675</v>
      </c>
    </row>
    <row r="18" ht="12.75">
      <c r="A18" s="3" t="s">
        <v>19</v>
      </c>
    </row>
    <row r="19" spans="2:12" ht="12.75">
      <c r="B19" s="3" t="s">
        <v>20</v>
      </c>
      <c r="E19" s="15">
        <v>9.968</v>
      </c>
      <c r="F19" s="15">
        <v>9.972</v>
      </c>
      <c r="G19" s="15">
        <v>9.982</v>
      </c>
      <c r="H19" s="15">
        <v>9.989741</v>
      </c>
      <c r="I19" s="37">
        <v>10.0021221</v>
      </c>
      <c r="J19" s="49">
        <v>10.014822</v>
      </c>
      <c r="K19" s="15">
        <v>10.018808</v>
      </c>
      <c r="L19" s="9" t="s">
        <v>33</v>
      </c>
    </row>
    <row r="20" ht="12.75">
      <c r="I20" s="39"/>
    </row>
    <row r="21" spans="2:12" ht="15.75" customHeight="1">
      <c r="B21" s="60" t="s">
        <v>31</v>
      </c>
      <c r="C21" s="61"/>
      <c r="D21" s="61"/>
      <c r="E21" s="15">
        <v>1.80047</v>
      </c>
      <c r="F21" s="15">
        <v>1.781579</v>
      </c>
      <c r="G21" s="15">
        <v>1.758795</v>
      </c>
      <c r="H21" s="15">
        <v>1.736798</v>
      </c>
      <c r="I21" s="37">
        <v>1.715301</v>
      </c>
      <c r="J21" s="9">
        <v>1.698</v>
      </c>
      <c r="K21" s="15">
        <v>1.729982</v>
      </c>
      <c r="L21" s="9" t="s">
        <v>33</v>
      </c>
    </row>
    <row r="22" spans="2:6" ht="15.75" customHeight="1">
      <c r="B22" s="25"/>
      <c r="C22" s="26"/>
      <c r="D22" s="26"/>
      <c r="E22" s="15"/>
      <c r="F22" s="15"/>
    </row>
    <row r="23" spans="2:12" ht="12.75">
      <c r="B23" s="58" t="s">
        <v>23</v>
      </c>
      <c r="C23" s="59"/>
      <c r="D23" s="59"/>
      <c r="E23" s="10">
        <f>E21/1245*1000</f>
        <v>1.4461606425702813</v>
      </c>
      <c r="F23" s="10">
        <f>F21/1231*1000</f>
        <v>1.4472615759545084</v>
      </c>
      <c r="G23" s="10">
        <f>G21/1212*1000</f>
        <v>1.45115099009901</v>
      </c>
      <c r="H23" s="10">
        <f>H21/1195*1000</f>
        <v>1.4533874476987447</v>
      </c>
      <c r="I23" s="34">
        <v>1.46</v>
      </c>
      <c r="J23" s="9">
        <v>1.46</v>
      </c>
      <c r="K23" s="55">
        <v>1.5</v>
      </c>
      <c r="L23" s="9" t="s">
        <v>33</v>
      </c>
    </row>
    <row r="25" ht="12.75">
      <c r="A25" s="3" t="s">
        <v>26</v>
      </c>
    </row>
    <row r="26" ht="12.75">
      <c r="A26" s="3"/>
    </row>
    <row r="27" spans="1:12" ht="12.75">
      <c r="A27" s="3" t="s">
        <v>29</v>
      </c>
      <c r="E27" s="1">
        <v>4680</v>
      </c>
      <c r="F27" s="1">
        <v>4408</v>
      </c>
      <c r="G27" s="1">
        <v>4843</v>
      </c>
      <c r="H27" s="1">
        <v>4916</v>
      </c>
      <c r="I27" s="1">
        <v>4295</v>
      </c>
      <c r="J27" s="1">
        <v>4224</v>
      </c>
      <c r="K27" s="1">
        <v>4006</v>
      </c>
      <c r="L27" s="1">
        <v>4230</v>
      </c>
    </row>
    <row r="29" spans="1:12" ht="12.75">
      <c r="A29" t="s">
        <v>1</v>
      </c>
      <c r="E29" s="29">
        <f>213.806-5.81</f>
        <v>207.996</v>
      </c>
      <c r="F29" s="9">
        <v>230</v>
      </c>
      <c r="G29" s="9">
        <v>241</v>
      </c>
      <c r="H29" s="5">
        <f>229.595-18.782</f>
        <v>210.813</v>
      </c>
      <c r="I29" s="5">
        <f>155.567-39.116</f>
        <v>116.45100000000001</v>
      </c>
      <c r="J29" s="48">
        <f>152.886-43.677</f>
        <v>109.209</v>
      </c>
      <c r="K29" s="5">
        <f>121.54-37.014</f>
        <v>84.52600000000001</v>
      </c>
      <c r="L29" s="9" t="s">
        <v>33</v>
      </c>
    </row>
    <row r="31" spans="1:12" ht="12.75">
      <c r="A31" s="3" t="s">
        <v>11</v>
      </c>
      <c r="E31" s="9">
        <v>65</v>
      </c>
      <c r="F31" s="9">
        <v>84</v>
      </c>
      <c r="G31" s="9">
        <v>93</v>
      </c>
      <c r="H31" s="9">
        <v>77</v>
      </c>
      <c r="I31" s="9">
        <v>74</v>
      </c>
      <c r="J31" s="9">
        <v>74</v>
      </c>
      <c r="K31" s="9">
        <v>83</v>
      </c>
      <c r="L31" s="9">
        <v>78</v>
      </c>
    </row>
    <row r="33" spans="1:12" ht="12.75">
      <c r="A33" s="3" t="s">
        <v>28</v>
      </c>
      <c r="E33" s="9">
        <v>156</v>
      </c>
      <c r="F33" s="9">
        <v>114</v>
      </c>
      <c r="G33" s="9">
        <v>132</v>
      </c>
      <c r="H33" s="9">
        <v>139</v>
      </c>
      <c r="I33" s="9">
        <v>105</v>
      </c>
      <c r="J33" s="9">
        <v>129</v>
      </c>
      <c r="K33" s="9">
        <v>123</v>
      </c>
      <c r="L33" s="9">
        <v>154</v>
      </c>
    </row>
    <row r="35" spans="1:12" ht="12.75">
      <c r="A35" t="s">
        <v>2</v>
      </c>
      <c r="E35" s="13">
        <v>916.927</v>
      </c>
      <c r="F35" s="12">
        <v>926.665</v>
      </c>
      <c r="G35" s="12">
        <v>933.943</v>
      </c>
      <c r="H35" s="12">
        <v>941.714</v>
      </c>
      <c r="I35" s="12">
        <v>915.637</v>
      </c>
      <c r="J35" s="12">
        <v>877.514</v>
      </c>
      <c r="K35" s="12">
        <v>950.202</v>
      </c>
      <c r="L35" s="9" t="s">
        <v>33</v>
      </c>
    </row>
    <row r="36" spans="5:10" ht="12.75">
      <c r="E36" s="27"/>
      <c r="J36" s="1"/>
    </row>
    <row r="37" spans="1:12" ht="12.75">
      <c r="A37" t="s">
        <v>3</v>
      </c>
      <c r="E37" s="13">
        <v>2504</v>
      </c>
      <c r="F37" s="12">
        <v>2749.84</v>
      </c>
      <c r="G37" s="12">
        <v>2698</v>
      </c>
      <c r="H37" s="12">
        <v>2880.999</v>
      </c>
      <c r="I37" s="12">
        <v>2489.151</v>
      </c>
      <c r="J37" s="12">
        <v>2458.489</v>
      </c>
      <c r="K37" s="12">
        <v>2374.247</v>
      </c>
      <c r="L37" s="9" t="s">
        <v>33</v>
      </c>
    </row>
    <row r="38" spans="5:10" ht="12.75">
      <c r="E38" s="27"/>
      <c r="J38" s="1"/>
    </row>
    <row r="39" spans="1:12" ht="12.75">
      <c r="A39" t="s">
        <v>4</v>
      </c>
      <c r="E39" s="13">
        <f>2348.15+3332.111+1625.202+2140.018</f>
        <v>9445.481</v>
      </c>
      <c r="F39" s="12">
        <f>2290.639+2773.871+1271.057+2492.612</f>
        <v>8828.179</v>
      </c>
      <c r="G39" s="12">
        <f>2389.029+3133.478+1501.768+2319.148</f>
        <v>9343.422999999999</v>
      </c>
      <c r="H39" s="1">
        <f>2355.474+3098.648+1355.23+2543.246</f>
        <v>9352.598000000002</v>
      </c>
      <c r="I39" s="1">
        <f>2052.198+2264.865+1141.461+2435.866</f>
        <v>7894.39</v>
      </c>
      <c r="J39" s="12">
        <f>1932.947+3270.673+1330.941+2586.021</f>
        <v>9120.582</v>
      </c>
      <c r="K39" s="1">
        <f>2067.741+2327.04+1330.491+2215.112</f>
        <v>7940.384</v>
      </c>
      <c r="L39" s="9" t="s">
        <v>33</v>
      </c>
    </row>
    <row r="41" ht="12.75">
      <c r="A41" s="3" t="s">
        <v>27</v>
      </c>
    </row>
    <row r="42" ht="12.75">
      <c r="A42" s="3"/>
    </row>
    <row r="43" spans="1:12" ht="12.75">
      <c r="A43" t="s">
        <v>5</v>
      </c>
      <c r="E43">
        <v>200</v>
      </c>
      <c r="F43">
        <v>219</v>
      </c>
      <c r="G43">
        <v>246</v>
      </c>
      <c r="H43">
        <v>267</v>
      </c>
      <c r="I43">
        <v>247</v>
      </c>
      <c r="J43">
        <v>280</v>
      </c>
      <c r="K43">
        <v>312</v>
      </c>
      <c r="L43">
        <v>344</v>
      </c>
    </row>
    <row r="45" spans="1:12" ht="12.75">
      <c r="A45" t="s">
        <v>6</v>
      </c>
      <c r="E45" s="1">
        <v>1000</v>
      </c>
      <c r="F45" s="1">
        <v>1043</v>
      </c>
      <c r="G45" s="1">
        <v>1056</v>
      </c>
      <c r="H45" s="1">
        <v>1062</v>
      </c>
      <c r="I45" s="1">
        <v>1110</v>
      </c>
      <c r="J45" s="1">
        <v>837</v>
      </c>
      <c r="K45" s="1">
        <v>1086</v>
      </c>
      <c r="L45" s="1">
        <v>1252</v>
      </c>
    </row>
    <row r="47" spans="1:12" ht="12.75">
      <c r="A47" s="3" t="s">
        <v>32</v>
      </c>
      <c r="E47" s="38">
        <v>523</v>
      </c>
      <c r="F47" s="38">
        <v>570</v>
      </c>
      <c r="G47" s="38">
        <v>565</v>
      </c>
      <c r="H47" s="47">
        <v>613</v>
      </c>
      <c r="I47" s="47">
        <v>653</v>
      </c>
      <c r="J47" s="47">
        <v>685</v>
      </c>
      <c r="K47" s="47">
        <v>696</v>
      </c>
      <c r="L47" s="47">
        <v>690</v>
      </c>
    </row>
    <row r="49" spans="1:12" ht="12.75">
      <c r="A49" t="s">
        <v>7</v>
      </c>
      <c r="E49" s="1">
        <v>2176</v>
      </c>
      <c r="F49" s="1">
        <v>2188</v>
      </c>
      <c r="G49" s="1">
        <v>2139</v>
      </c>
      <c r="H49" s="1">
        <v>2110</v>
      </c>
      <c r="I49" s="1">
        <v>2073</v>
      </c>
      <c r="J49" s="1">
        <v>1888</v>
      </c>
      <c r="K49" s="1">
        <v>2111</v>
      </c>
      <c r="L49" s="1">
        <v>2196</v>
      </c>
    </row>
    <row r="51" spans="1:12" ht="12.75">
      <c r="A51" t="s">
        <v>8</v>
      </c>
      <c r="E51" s="29">
        <v>537.399</v>
      </c>
      <c r="F51" s="8">
        <v>543.785</v>
      </c>
      <c r="G51" s="5">
        <v>541.888</v>
      </c>
      <c r="H51" s="5">
        <v>579.276</v>
      </c>
      <c r="I51" s="8">
        <v>577.521</v>
      </c>
      <c r="J51" s="12">
        <v>573.079</v>
      </c>
      <c r="K51" s="5">
        <v>604.525</v>
      </c>
      <c r="L51" s="9" t="s">
        <v>33</v>
      </c>
    </row>
    <row r="53" spans="1:12" ht="12.75">
      <c r="A53" s="3" t="s">
        <v>24</v>
      </c>
      <c r="B53" s="2"/>
      <c r="C53" s="2"/>
      <c r="D53" s="2"/>
      <c r="E53" s="1">
        <v>1787.02</v>
      </c>
      <c r="F53" s="1">
        <v>1971.84</v>
      </c>
      <c r="G53" s="1">
        <v>2268.36</v>
      </c>
      <c r="H53" s="1">
        <v>2429.89</v>
      </c>
      <c r="I53" s="1">
        <v>3074.95</v>
      </c>
      <c r="J53" s="1">
        <v>3901.55</v>
      </c>
      <c r="K53" s="1">
        <v>4025.57</v>
      </c>
      <c r="L53" s="1">
        <v>4236.37</v>
      </c>
    </row>
    <row r="55" spans="1:12" ht="12.75">
      <c r="A55" t="s">
        <v>10</v>
      </c>
      <c r="E55" s="1">
        <v>234.823</v>
      </c>
      <c r="F55" s="5">
        <v>238.635</v>
      </c>
      <c r="G55" s="5">
        <v>252.173</v>
      </c>
      <c r="H55" s="5">
        <v>257.132</v>
      </c>
      <c r="I55" s="5">
        <v>389.916</v>
      </c>
      <c r="J55" s="5">
        <v>473.393</v>
      </c>
      <c r="K55" s="5">
        <v>452.905</v>
      </c>
      <c r="L55" s="5">
        <v>423.182</v>
      </c>
    </row>
    <row r="57" spans="3:12" ht="12.75">
      <c r="C57" s="35" t="s">
        <v>38</v>
      </c>
      <c r="E57">
        <v>103</v>
      </c>
      <c r="F57">
        <v>116</v>
      </c>
      <c r="G57">
        <v>130</v>
      </c>
      <c r="H57">
        <v>142</v>
      </c>
      <c r="I57">
        <v>157</v>
      </c>
      <c r="J57" s="5">
        <v>186.878</v>
      </c>
      <c r="K57" s="1">
        <v>206.229</v>
      </c>
      <c r="L57">
        <v>212.529</v>
      </c>
    </row>
    <row r="58" spans="5:6" ht="12.75">
      <c r="E58" s="1"/>
      <c r="F58" s="5"/>
    </row>
    <row r="59" spans="3:12" ht="12.75">
      <c r="C59" s="35" t="s">
        <v>43</v>
      </c>
      <c r="E59" s="5">
        <v>68.241</v>
      </c>
      <c r="F59" s="5">
        <v>92.018</v>
      </c>
      <c r="G59" s="5">
        <v>114.911</v>
      </c>
      <c r="H59" s="5">
        <v>132.859</v>
      </c>
      <c r="I59" s="5">
        <v>145.572</v>
      </c>
      <c r="J59" s="5">
        <v>226.065</v>
      </c>
      <c r="K59" s="5">
        <v>205.183</v>
      </c>
      <c r="L59" s="5">
        <v>221.18</v>
      </c>
    </row>
    <row r="61" spans="1:12" ht="12.75">
      <c r="A61" s="3" t="s">
        <v>36</v>
      </c>
      <c r="E61" s="1">
        <v>23.8633</v>
      </c>
      <c r="F61" s="5">
        <v>25.62</v>
      </c>
      <c r="G61">
        <v>18</v>
      </c>
      <c r="H61" s="5">
        <v>11.6246</v>
      </c>
      <c r="I61">
        <v>1</v>
      </c>
      <c r="J61" s="5">
        <v>1.6</v>
      </c>
      <c r="K61" s="5">
        <f>0.816+1.67+0.285</f>
        <v>2.771</v>
      </c>
      <c r="L61" s="5">
        <f>1.172+0.061+0.03+2.829+0.659</f>
        <v>4.751</v>
      </c>
    </row>
    <row r="62" ht="12.75">
      <c r="E62" s="1"/>
    </row>
    <row r="63" spans="1:12" ht="12.75">
      <c r="A63" s="3" t="s">
        <v>25</v>
      </c>
      <c r="E63" s="1">
        <v>12341.54</v>
      </c>
      <c r="F63" s="1">
        <v>14822.13</v>
      </c>
      <c r="G63" s="1">
        <v>18903.08</v>
      </c>
      <c r="H63" s="1">
        <v>15013.24</v>
      </c>
      <c r="I63" s="1">
        <v>18678.14</v>
      </c>
      <c r="J63" s="1">
        <v>25573.26</v>
      </c>
      <c r="K63" s="1">
        <v>24760.35</v>
      </c>
      <c r="L63" s="1">
        <v>24992.46</v>
      </c>
    </row>
    <row r="64" spans="1:5" ht="12.75">
      <c r="A64" s="1"/>
      <c r="E64" s="1"/>
    </row>
    <row r="65" spans="1:12" ht="12.75">
      <c r="A65" t="s">
        <v>11</v>
      </c>
      <c r="E65" s="1">
        <v>1264.627</v>
      </c>
      <c r="F65" s="1">
        <v>1826</v>
      </c>
      <c r="G65" s="1">
        <v>2820</v>
      </c>
      <c r="H65" s="1">
        <v>1638</v>
      </c>
      <c r="I65" s="1">
        <v>1990.142</v>
      </c>
      <c r="J65" s="1">
        <v>2498</v>
      </c>
      <c r="K65" s="1">
        <v>2603.024</v>
      </c>
      <c r="L65" s="1">
        <v>2676.603</v>
      </c>
    </row>
    <row r="66" spans="5:6" ht="12.75">
      <c r="E66" s="1"/>
      <c r="F66" s="1"/>
    </row>
    <row r="67" spans="1:12" ht="12.75">
      <c r="A67" t="s">
        <v>15</v>
      </c>
      <c r="E67" s="1">
        <f>593.669+198.802</f>
        <v>792.471</v>
      </c>
      <c r="F67" s="1">
        <f>690.979+248.421</f>
        <v>939.4000000000001</v>
      </c>
      <c r="G67" s="5">
        <f>726.5574+233.4355</f>
        <v>959.9929</v>
      </c>
      <c r="H67" s="5">
        <f>615.042+182.064</f>
        <v>797.106</v>
      </c>
      <c r="I67" s="1">
        <f>808.7+271.703</f>
        <v>1080.403</v>
      </c>
      <c r="J67" s="1">
        <f>1160.037+361.964</f>
        <v>1522.001</v>
      </c>
      <c r="K67" s="1">
        <f>943.477+316.629</f>
        <v>1260.106</v>
      </c>
      <c r="L67" s="1">
        <f>1065.976+329.708</f>
        <v>1395.6840000000002</v>
      </c>
    </row>
    <row r="68" spans="5:6" ht="12.75">
      <c r="E68" s="1"/>
      <c r="F68" s="1"/>
    </row>
    <row r="69" spans="1:12" ht="12.75">
      <c r="A69" t="s">
        <v>14</v>
      </c>
      <c r="E69" s="1">
        <v>363.759</v>
      </c>
      <c r="F69" s="1">
        <v>380.571</v>
      </c>
      <c r="G69" s="1">
        <v>368.821</v>
      </c>
      <c r="H69" s="1">
        <v>268</v>
      </c>
      <c r="I69" s="1">
        <v>386.151</v>
      </c>
      <c r="J69" s="1">
        <v>446.355</v>
      </c>
      <c r="K69" s="1">
        <v>458.288</v>
      </c>
      <c r="L69" s="1">
        <v>448.566</v>
      </c>
    </row>
    <row r="70" spans="5:6" ht="12.75">
      <c r="E70" s="1"/>
      <c r="F70" s="1"/>
    </row>
    <row r="71" spans="1:12" ht="12.75">
      <c r="A71" t="s">
        <v>12</v>
      </c>
      <c r="E71" s="1">
        <v>656.06</v>
      </c>
      <c r="F71" s="1">
        <v>828.237</v>
      </c>
      <c r="G71" s="1">
        <v>1274.364</v>
      </c>
      <c r="H71" s="1">
        <v>949</v>
      </c>
      <c r="I71" s="1">
        <v>1067.055</v>
      </c>
      <c r="J71" s="1">
        <v>1647.062</v>
      </c>
      <c r="K71" s="1">
        <v>1773.167</v>
      </c>
      <c r="L71" s="1">
        <v>1615.625</v>
      </c>
    </row>
    <row r="72" spans="5:6" ht="12.75">
      <c r="E72" s="1"/>
      <c r="F72" s="1"/>
    </row>
    <row r="73" spans="1:12" ht="12.75">
      <c r="A73" t="s">
        <v>13</v>
      </c>
      <c r="E73" s="1">
        <v>298.694</v>
      </c>
      <c r="F73" s="1">
        <v>305.403</v>
      </c>
      <c r="G73" s="1">
        <v>341.675</v>
      </c>
      <c r="H73" s="1">
        <v>292</v>
      </c>
      <c r="I73" s="1">
        <v>405.825</v>
      </c>
      <c r="J73" s="1">
        <v>854.767</v>
      </c>
      <c r="K73" s="1">
        <v>687.501</v>
      </c>
      <c r="L73" s="1">
        <v>609.314</v>
      </c>
    </row>
    <row r="74" spans="5:6" ht="12.75">
      <c r="E74" s="1"/>
      <c r="F74" s="1"/>
    </row>
    <row r="75" spans="1:12" ht="12.75">
      <c r="A75" t="s">
        <v>16</v>
      </c>
      <c r="E75" s="1">
        <v>321.381</v>
      </c>
      <c r="F75" s="1">
        <v>414.664</v>
      </c>
      <c r="G75" s="1">
        <v>791.869</v>
      </c>
      <c r="H75" s="1">
        <v>592</v>
      </c>
      <c r="I75" s="1">
        <v>573.87</v>
      </c>
      <c r="J75" s="1">
        <v>676.295</v>
      </c>
      <c r="K75" s="1">
        <v>731.627</v>
      </c>
      <c r="L75" s="1">
        <v>738.154</v>
      </c>
    </row>
    <row r="76" spans="5:6" ht="12.75">
      <c r="E76" s="1"/>
      <c r="F76" s="1"/>
    </row>
    <row r="77" spans="1:12" ht="12.75">
      <c r="A77" t="s">
        <v>9</v>
      </c>
      <c r="E77" s="1">
        <v>741.358</v>
      </c>
      <c r="F77" s="1">
        <f>862.851</f>
        <v>862.851</v>
      </c>
      <c r="G77" s="1">
        <v>823.467</v>
      </c>
      <c r="H77" s="1">
        <v>672</v>
      </c>
      <c r="I77" s="1">
        <v>664.314</v>
      </c>
      <c r="J77" s="1">
        <v>1438.401</v>
      </c>
      <c r="K77" s="1">
        <v>1130.506</v>
      </c>
      <c r="L77" s="1">
        <v>822.113</v>
      </c>
    </row>
    <row r="78" ht="12.75">
      <c r="F78" s="1"/>
    </row>
    <row r="79" spans="3:12" ht="12.75">
      <c r="C79" s="35" t="s">
        <v>37</v>
      </c>
      <c r="E79" s="1">
        <v>733.596465</v>
      </c>
      <c r="F79" s="1">
        <v>789.148378</v>
      </c>
      <c r="G79" s="1">
        <v>1003.034438</v>
      </c>
      <c r="H79" s="1">
        <v>600.378138</v>
      </c>
      <c r="I79" s="1">
        <v>1195.001483</v>
      </c>
      <c r="J79" s="1">
        <v>1928.652812</v>
      </c>
      <c r="K79" s="1">
        <v>1372.738</v>
      </c>
      <c r="L79" s="1">
        <v>1108.783</v>
      </c>
    </row>
  </sheetData>
  <sheetProtection/>
  <mergeCells count="3">
    <mergeCell ref="B21:D21"/>
    <mergeCell ref="B23:D23"/>
    <mergeCell ref="E2:L2"/>
  </mergeCells>
  <printOptions/>
  <pageMargins left="0.75" right="0.75" top="1" bottom="1" header="0.5" footer="0.5"/>
  <pageSetup fitToHeight="1" fitToWidth="1" horizontalDpi="600" verticalDpi="600" orientation="portrait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4" sqref="B34"/>
    </sheetView>
  </sheetViews>
  <sheetFormatPr defaultColWidth="9.140625" defaultRowHeight="12.75"/>
  <cols>
    <col min="2" max="2" width="11.00390625" style="0" customWidth="1"/>
  </cols>
  <sheetData>
    <row r="1" spans="1:15" ht="18.75" thickBot="1">
      <c r="A1" s="30">
        <v>39448</v>
      </c>
      <c r="B1" s="31">
        <v>942.75</v>
      </c>
      <c r="D1" s="32">
        <v>39814</v>
      </c>
      <c r="E1" s="33">
        <v>1356.6</v>
      </c>
      <c r="G1" s="32">
        <v>40179</v>
      </c>
      <c r="H1" s="33">
        <v>1138.1</v>
      </c>
      <c r="J1" s="40" t="s">
        <v>39</v>
      </c>
      <c r="K1" s="40"/>
      <c r="N1" s="64" t="s">
        <v>39</v>
      </c>
      <c r="O1" s="65"/>
    </row>
    <row r="2" spans="1:15" ht="30.75" thickBot="1">
      <c r="A2" s="30">
        <v>39479</v>
      </c>
      <c r="B2" s="31">
        <v>944.05</v>
      </c>
      <c r="D2" s="32">
        <v>39845</v>
      </c>
      <c r="E2" s="33">
        <v>1440.7</v>
      </c>
      <c r="G2" s="32">
        <v>40210</v>
      </c>
      <c r="H2" s="33">
        <v>1156.4</v>
      </c>
      <c r="J2" s="40" t="s">
        <v>40</v>
      </c>
      <c r="K2" s="40" t="s">
        <v>41</v>
      </c>
      <c r="N2" s="50" t="s">
        <v>40</v>
      </c>
      <c r="O2" s="50" t="s">
        <v>41</v>
      </c>
    </row>
    <row r="3" spans="1:15" ht="15.75" thickBot="1">
      <c r="A3" s="30">
        <v>39508</v>
      </c>
      <c r="B3" s="31">
        <v>981.08</v>
      </c>
      <c r="D3" s="32">
        <v>39873</v>
      </c>
      <c r="E3" s="33">
        <v>1452.5</v>
      </c>
      <c r="G3" s="32">
        <v>40238</v>
      </c>
      <c r="H3" s="33">
        <v>1136.4</v>
      </c>
      <c r="J3" s="41">
        <v>40544</v>
      </c>
      <c r="K3" s="40">
        <v>1119.1</v>
      </c>
      <c r="N3" s="32">
        <v>40909</v>
      </c>
      <c r="O3" s="51">
        <v>1141.6</v>
      </c>
    </row>
    <row r="4" spans="1:15" ht="15.75" thickBot="1">
      <c r="A4" s="30">
        <v>39539</v>
      </c>
      <c r="B4" s="31">
        <v>987.15</v>
      </c>
      <c r="D4" s="32">
        <v>39904</v>
      </c>
      <c r="E4" s="33">
        <v>1333.7</v>
      </c>
      <c r="G4" s="32">
        <v>40269</v>
      </c>
      <c r="H4" s="33">
        <v>1115.4</v>
      </c>
      <c r="J4" s="41">
        <v>40575</v>
      </c>
      <c r="K4" s="40">
        <v>1118.3</v>
      </c>
      <c r="N4" s="32">
        <v>40940</v>
      </c>
      <c r="O4" s="51">
        <v>1123</v>
      </c>
    </row>
    <row r="5" spans="1:15" ht="15.75" thickBot="1">
      <c r="A5" s="30">
        <v>39569</v>
      </c>
      <c r="B5" s="31">
        <v>1035.54</v>
      </c>
      <c r="D5" s="32">
        <v>39934</v>
      </c>
      <c r="E5" s="33">
        <v>1255.1</v>
      </c>
      <c r="G5" s="32">
        <v>40299</v>
      </c>
      <c r="H5" s="33">
        <v>1164.7</v>
      </c>
      <c r="J5" s="41">
        <v>40603</v>
      </c>
      <c r="K5" s="40">
        <v>1120.3</v>
      </c>
      <c r="N5" s="32">
        <v>40969</v>
      </c>
      <c r="O5" s="51">
        <v>1126.6</v>
      </c>
    </row>
    <row r="6" spans="1:15" ht="15.75" thickBot="1">
      <c r="A6" s="30">
        <v>39600</v>
      </c>
      <c r="B6" s="31">
        <v>1031.81</v>
      </c>
      <c r="D6" s="32">
        <v>39965</v>
      </c>
      <c r="E6" s="33">
        <v>1262.6</v>
      </c>
      <c r="G6" s="32">
        <v>40330</v>
      </c>
      <c r="H6" s="33">
        <v>1214.8</v>
      </c>
      <c r="J6" s="41">
        <v>40634</v>
      </c>
      <c r="K6" s="40">
        <v>1084.4</v>
      </c>
      <c r="N6" s="32">
        <v>41000</v>
      </c>
      <c r="O6" s="51">
        <v>1135.6</v>
      </c>
    </row>
    <row r="7" spans="1:15" ht="15.75" thickBot="1">
      <c r="A7" s="30">
        <v>39630</v>
      </c>
      <c r="B7" s="31">
        <v>1015.28</v>
      </c>
      <c r="D7" s="32">
        <v>39995</v>
      </c>
      <c r="E7" s="33">
        <v>1261.8</v>
      </c>
      <c r="G7" s="32">
        <v>40360</v>
      </c>
      <c r="H7" s="33">
        <v>1204.1</v>
      </c>
      <c r="J7" s="41">
        <v>40664</v>
      </c>
      <c r="K7" s="40">
        <v>1083.9</v>
      </c>
      <c r="N7" s="32">
        <v>41030</v>
      </c>
      <c r="O7" s="51">
        <v>1157</v>
      </c>
    </row>
    <row r="8" spans="1:15" ht="15.75" thickBot="1">
      <c r="A8" s="30">
        <v>39661</v>
      </c>
      <c r="B8" s="31">
        <v>1048.19</v>
      </c>
      <c r="D8" s="32">
        <v>40026</v>
      </c>
      <c r="E8" s="33">
        <v>1240.8</v>
      </c>
      <c r="G8" s="32">
        <v>40391</v>
      </c>
      <c r="H8" s="33">
        <v>1180.7</v>
      </c>
      <c r="J8" s="41">
        <v>40695</v>
      </c>
      <c r="K8" s="40">
        <v>1080.9</v>
      </c>
      <c r="N8" s="32">
        <v>41061</v>
      </c>
      <c r="O8" s="51">
        <v>1164</v>
      </c>
    </row>
    <row r="9" spans="1:15" ht="15.75" thickBot="1">
      <c r="A9" s="30">
        <v>39692</v>
      </c>
      <c r="B9" s="31">
        <v>1135.04</v>
      </c>
      <c r="D9" s="32">
        <v>40057</v>
      </c>
      <c r="E9" s="33">
        <v>1212.9</v>
      </c>
      <c r="G9" s="32">
        <v>40422</v>
      </c>
      <c r="H9" s="33">
        <v>1161.5</v>
      </c>
      <c r="J9" s="41">
        <v>40725</v>
      </c>
      <c r="K9" s="40">
        <v>1057.9</v>
      </c>
      <c r="N9" s="32">
        <v>41091</v>
      </c>
      <c r="O9" s="51">
        <v>1142.4</v>
      </c>
    </row>
    <row r="10" spans="1:15" ht="15.75" thickBot="1">
      <c r="A10" s="30">
        <v>39722</v>
      </c>
      <c r="B10" s="31">
        <v>1326.89</v>
      </c>
      <c r="D10" s="32">
        <v>40087</v>
      </c>
      <c r="E10" s="33">
        <v>1174.9</v>
      </c>
      <c r="G10" s="32">
        <v>40452</v>
      </c>
      <c r="H10" s="33">
        <v>1122.7</v>
      </c>
      <c r="J10" s="41">
        <v>40756</v>
      </c>
      <c r="K10" s="40">
        <v>1075.3</v>
      </c>
      <c r="N10" s="32">
        <v>41122</v>
      </c>
      <c r="O10" s="51">
        <v>1132.3</v>
      </c>
    </row>
    <row r="11" spans="1:15" ht="15.75" thickBot="1">
      <c r="A11" s="30">
        <v>39753</v>
      </c>
      <c r="B11" s="31">
        <v>1402.82</v>
      </c>
      <c r="D11" s="32">
        <v>40118</v>
      </c>
      <c r="E11" s="33">
        <v>1163.4</v>
      </c>
      <c r="G11" s="32">
        <v>40483</v>
      </c>
      <c r="H11" s="33">
        <v>1131.3</v>
      </c>
      <c r="J11" s="41">
        <v>40787</v>
      </c>
      <c r="K11" s="40">
        <v>1122.5</v>
      </c>
      <c r="N11" s="32">
        <v>41153</v>
      </c>
      <c r="O11" s="51">
        <v>1123.7</v>
      </c>
    </row>
    <row r="12" spans="1:15" ht="15.75" thickBot="1">
      <c r="A12" s="30">
        <v>39783</v>
      </c>
      <c r="B12" s="31">
        <v>1366.25</v>
      </c>
      <c r="D12" s="32">
        <v>40148</v>
      </c>
      <c r="E12" s="33">
        <v>1164.7</v>
      </c>
      <c r="G12" s="32">
        <v>40513</v>
      </c>
      <c r="H12" s="33">
        <v>1145.5</v>
      </c>
      <c r="J12" s="41">
        <v>40817</v>
      </c>
      <c r="K12" s="40">
        <v>1151.1</v>
      </c>
      <c r="N12" s="32">
        <v>41183</v>
      </c>
      <c r="O12" s="51">
        <v>1106.1</v>
      </c>
    </row>
    <row r="13" spans="10:15" ht="15.75" thickBot="1">
      <c r="J13" s="41">
        <v>40848</v>
      </c>
      <c r="K13" s="40">
        <v>1134.9</v>
      </c>
      <c r="N13" s="32">
        <v>41214</v>
      </c>
      <c r="O13" s="51">
        <v>1087.6</v>
      </c>
    </row>
    <row r="14" spans="2:15" ht="15.75" thickBot="1">
      <c r="B14">
        <f>+AVERAGE(B1:B12)</f>
        <v>1101.4041666666665</v>
      </c>
      <c r="E14">
        <f>+AVERAGE(E1:E12)</f>
        <v>1276.6416666666667</v>
      </c>
      <c r="H14">
        <f>+AVERAGE(H1:H12)</f>
        <v>1155.9666666666667</v>
      </c>
      <c r="J14" s="41">
        <v>40878</v>
      </c>
      <c r="K14" s="40">
        <v>1148.3</v>
      </c>
      <c r="N14" s="32">
        <v>41244</v>
      </c>
      <c r="O14" s="51">
        <v>1076.1</v>
      </c>
    </row>
    <row r="15" spans="10:11" ht="15">
      <c r="J15" s="40" t="s">
        <v>42</v>
      </c>
      <c r="K15" s="40"/>
    </row>
    <row r="17" spans="11:15" ht="12.75">
      <c r="K17">
        <f>AVERAGE(K3:K14)</f>
        <v>1108.0749999999998</v>
      </c>
      <c r="O17">
        <f>AVERAGE(O3:O14)</f>
        <v>1126.3333333333333</v>
      </c>
    </row>
    <row r="18" ht="13.5" thickBot="1"/>
    <row r="19" spans="1:2" ht="30.75" thickBot="1">
      <c r="A19" s="50" t="s">
        <v>40</v>
      </c>
      <c r="B19" s="50" t="s">
        <v>41</v>
      </c>
    </row>
    <row r="20" spans="1:2" ht="15.75" thickBot="1">
      <c r="A20" s="32">
        <v>41275</v>
      </c>
      <c r="B20" s="51">
        <v>1067.1</v>
      </c>
    </row>
    <row r="21" spans="1:2" ht="15.75" thickBot="1">
      <c r="A21" s="32">
        <v>41306</v>
      </c>
      <c r="B21" s="51">
        <v>1087.9</v>
      </c>
    </row>
    <row r="22" spans="1:2" ht="15.75" thickBot="1">
      <c r="A22" s="32">
        <v>41334</v>
      </c>
      <c r="B22" s="51">
        <v>1102.9</v>
      </c>
    </row>
    <row r="23" spans="1:2" ht="15.75" thickBot="1">
      <c r="A23" s="32">
        <v>41365</v>
      </c>
      <c r="B23" s="51">
        <v>1121.3</v>
      </c>
    </row>
    <row r="24" spans="1:2" ht="15.75" thickBot="1">
      <c r="A24" s="32">
        <v>41395</v>
      </c>
      <c r="B24" s="51">
        <v>1112</v>
      </c>
    </row>
    <row r="25" spans="1:2" ht="15.75" thickBot="1">
      <c r="A25" s="32">
        <v>41426</v>
      </c>
      <c r="B25" s="51">
        <v>1135.6</v>
      </c>
    </row>
    <row r="26" spans="1:2" ht="15.75" thickBot="1">
      <c r="A26" s="32">
        <v>41456</v>
      </c>
      <c r="B26" s="51">
        <v>1125.7</v>
      </c>
    </row>
    <row r="27" spans="1:2" ht="15.75" thickBot="1">
      <c r="A27" s="32">
        <v>41487</v>
      </c>
      <c r="B27" s="51">
        <v>1116.6</v>
      </c>
    </row>
    <row r="28" spans="1:2" ht="15.75" thickBot="1">
      <c r="A28" s="32">
        <v>41518</v>
      </c>
      <c r="B28" s="51">
        <v>1082.6</v>
      </c>
    </row>
    <row r="29" spans="1:2" ht="15.75" thickBot="1">
      <c r="A29" s="32">
        <v>41548</v>
      </c>
      <c r="B29" s="51">
        <v>1066.4</v>
      </c>
    </row>
    <row r="30" spans="1:2" ht="15.75" thickBot="1">
      <c r="A30" s="32">
        <v>41579</v>
      </c>
      <c r="B30" s="51">
        <v>1061.9</v>
      </c>
    </row>
    <row r="31" spans="1:2" ht="15.75" thickBot="1">
      <c r="A31" s="32">
        <v>41609</v>
      </c>
      <c r="B31" s="51">
        <v>1056.1</v>
      </c>
    </row>
    <row r="34" ht="12.75">
      <c r="B34">
        <f>AVERAGE(B20:B31)</f>
        <v>1094.675</v>
      </c>
    </row>
  </sheetData>
  <sheetProtection/>
  <mergeCells count="1">
    <mergeCell ref="N1:O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Long-term Series Page</dc:title>
  <dc:subject/>
  <dc:creator>John Dyck</dc:creator>
  <cp:keywords/>
  <dc:description/>
  <cp:lastModifiedBy>WIN31TONT40</cp:lastModifiedBy>
  <cp:lastPrinted>2007-06-08T12:06:38Z</cp:lastPrinted>
  <dcterms:created xsi:type="dcterms:W3CDTF">2001-06-21T15:08:11Z</dcterms:created>
  <dcterms:modified xsi:type="dcterms:W3CDTF">2015-02-25T14:08:42Z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